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0115" windowHeight="7740"/>
  </bookViews>
  <sheets>
    <sheet name="ORÇAMENTO" sheetId="7" r:id="rId1"/>
    <sheet name="CRONOGRAMA" sheetId="8" r:id="rId2"/>
    <sheet name="TRU_RESUMO MAT" sheetId="3" r:id="rId3"/>
    <sheet name="calculo escada" sheetId="4" state="hidden" r:id="rId4"/>
    <sheet name="ELE_TEL_LOG" sheetId="5" state="hidden" r:id="rId5"/>
    <sheet name="AGUA_ESGOTO" sheetId="6" state="hidden" r:id="rId6"/>
    <sheet name="ESQUADRIAS" sheetId="9" state="hidden" r:id="rId7"/>
  </sheets>
  <definedNames>
    <definedName name="A" localSheetId="2">'TRU_RESUMO MAT'!#REF!</definedName>
    <definedName name="_xlnm.Print_Area" localSheetId="0">ORÇAMENTO!$B$1:$L$273</definedName>
    <definedName name="_xlnm.Print_Area" localSheetId="2">'TRU_RESUMO MAT'!#REF!</definedName>
    <definedName name="B" localSheetId="2">'TRU_RESUMO MAT'!#REF!</definedName>
    <definedName name="D" localSheetId="2">'TRU_RESUMO MAT'!#REF!</definedName>
    <definedName name="E" localSheetId="2">'TRU_RESUMO MAT'!#REF!</definedName>
  </definedNames>
  <calcPr calcId="125725"/>
</workbook>
</file>

<file path=xl/calcChain.xml><?xml version="1.0" encoding="utf-8"?>
<calcChain xmlns="http://schemas.openxmlformats.org/spreadsheetml/2006/main">
  <c r="I273" i="7"/>
  <c r="J273"/>
  <c r="Q11" i="8"/>
  <c r="Q12"/>
  <c r="Q13"/>
  <c r="Q14"/>
  <c r="Q15"/>
  <c r="Q16"/>
  <c r="Q17"/>
  <c r="Q18"/>
  <c r="Q19"/>
  <c r="Q20"/>
  <c r="Q21"/>
  <c r="Q22"/>
  <c r="Q23"/>
  <c r="Q10"/>
  <c r="C11"/>
  <c r="N11" s="1"/>
  <c r="C12"/>
  <c r="N12" s="1"/>
  <c r="C13"/>
  <c r="L13" s="1"/>
  <c r="C14"/>
  <c r="L14" s="1"/>
  <c r="C15"/>
  <c r="L15" s="1"/>
  <c r="C16"/>
  <c r="J16" s="1"/>
  <c r="C17"/>
  <c r="J17" s="1"/>
  <c r="C18"/>
  <c r="N18" s="1"/>
  <c r="C19"/>
  <c r="C20"/>
  <c r="L20" s="1"/>
  <c r="C21"/>
  <c r="N21" s="1"/>
  <c r="C22"/>
  <c r="N22" s="1"/>
  <c r="C23"/>
  <c r="L23" s="1"/>
  <c r="C10"/>
  <c r="H10" s="1"/>
  <c r="B11"/>
  <c r="B12"/>
  <c r="B13"/>
  <c r="B14"/>
  <c r="B15"/>
  <c r="B16"/>
  <c r="B17"/>
  <c r="B18"/>
  <c r="B19"/>
  <c r="B20"/>
  <c r="B21"/>
  <c r="B22"/>
  <c r="B23"/>
  <c r="B10"/>
  <c r="J18" l="1"/>
  <c r="N17"/>
  <c r="J13"/>
  <c r="N13"/>
  <c r="J21"/>
  <c r="H23"/>
  <c r="N20"/>
  <c r="L10"/>
  <c r="L16"/>
  <c r="H11"/>
  <c r="J19"/>
  <c r="J11"/>
  <c r="L17"/>
  <c r="N10"/>
  <c r="N19"/>
  <c r="F12"/>
  <c r="J20"/>
  <c r="J12"/>
  <c r="L18"/>
  <c r="N16"/>
  <c r="L19"/>
  <c r="F10"/>
  <c r="J22"/>
  <c r="J14"/>
  <c r="L12"/>
  <c r="N15"/>
  <c r="F11"/>
  <c r="L11"/>
  <c r="J23"/>
  <c r="J15"/>
  <c r="L21"/>
  <c r="N14"/>
  <c r="N23"/>
  <c r="J10"/>
  <c r="L22"/>
  <c r="H16"/>
  <c r="H18"/>
  <c r="H19"/>
  <c r="H20"/>
  <c r="H12"/>
  <c r="H17"/>
  <c r="H21"/>
  <c r="H13"/>
  <c r="H22"/>
  <c r="H14"/>
  <c r="H15"/>
  <c r="R12" l="1"/>
  <c r="J27"/>
  <c r="R11"/>
  <c r="R10"/>
  <c r="N27"/>
  <c r="L27"/>
  <c r="H27"/>
  <c r="F13"/>
  <c r="R13" s="1"/>
  <c r="F14" l="1"/>
  <c r="R14" s="1"/>
  <c r="F15" l="1"/>
  <c r="R15" s="1"/>
  <c r="F16" l="1"/>
  <c r="R16" s="1"/>
  <c r="F17" l="1"/>
  <c r="R17" s="1"/>
  <c r="F18" l="1"/>
  <c r="R18" s="1"/>
  <c r="F19" l="1"/>
  <c r="R19" s="1"/>
  <c r="F20" l="1"/>
  <c r="R20" s="1"/>
  <c r="F21" l="1"/>
  <c r="R21" s="1"/>
  <c r="F22" l="1"/>
  <c r="R22" s="1"/>
  <c r="F23"/>
  <c r="R23" s="1"/>
  <c r="F27" l="1"/>
  <c r="F28" s="1"/>
  <c r="H28" s="1"/>
  <c r="J28" s="1"/>
  <c r="L28" s="1"/>
  <c r="N28" s="1"/>
  <c r="L273" i="7" l="1"/>
  <c r="H46"/>
  <c r="K46" s="1"/>
  <c r="J46"/>
  <c r="I92"/>
  <c r="J92" s="1"/>
  <c r="K92" s="1"/>
  <c r="J69"/>
  <c r="K69" s="1"/>
  <c r="J68"/>
  <c r="K68" s="1"/>
  <c r="J10"/>
  <c r="K10" s="1"/>
  <c r="J11"/>
  <c r="K11" s="1"/>
  <c r="J12"/>
  <c r="K12" s="1"/>
  <c r="J13"/>
  <c r="K13" s="1"/>
  <c r="J14"/>
  <c r="K14" s="1"/>
  <c r="J15"/>
  <c r="K15" s="1"/>
  <c r="J16"/>
  <c r="J17"/>
  <c r="K17" s="1"/>
  <c r="J18"/>
  <c r="J19"/>
  <c r="K19" s="1"/>
  <c r="J75"/>
  <c r="J74"/>
  <c r="J73"/>
  <c r="H75"/>
  <c r="H74"/>
  <c r="H73"/>
  <c r="H270"/>
  <c r="J270"/>
  <c r="J9"/>
  <c r="K9" s="1"/>
  <c r="J268"/>
  <c r="K268" s="1"/>
  <c r="J266"/>
  <c r="K266" s="1"/>
  <c r="J264"/>
  <c r="K264" s="1"/>
  <c r="J263"/>
  <c r="K263" s="1"/>
  <c r="J94"/>
  <c r="K94" s="1"/>
  <c r="J86"/>
  <c r="K86" s="1"/>
  <c r="J85"/>
  <c r="K85" s="1"/>
  <c r="J256"/>
  <c r="K256" s="1"/>
  <c r="J253"/>
  <c r="K253" s="1"/>
  <c r="J250"/>
  <c r="K250" s="1"/>
  <c r="J247"/>
  <c r="K247" s="1"/>
  <c r="J234"/>
  <c r="K234" s="1"/>
  <c r="J225"/>
  <c r="K225" s="1"/>
  <c r="J177"/>
  <c r="K177" s="1"/>
  <c r="J178"/>
  <c r="K178" s="1"/>
  <c r="J180"/>
  <c r="K180" s="1"/>
  <c r="J181"/>
  <c r="K181" s="1"/>
  <c r="J182"/>
  <c r="K182" s="1"/>
  <c r="J183"/>
  <c r="K183" s="1"/>
  <c r="J184"/>
  <c r="K184" s="1"/>
  <c r="J185"/>
  <c r="K185" s="1"/>
  <c r="J186"/>
  <c r="K186" s="1"/>
  <c r="J187"/>
  <c r="K187" s="1"/>
  <c r="J189"/>
  <c r="K189" s="1"/>
  <c r="J190"/>
  <c r="K190" s="1"/>
  <c r="J191"/>
  <c r="K191" s="1"/>
  <c r="J192"/>
  <c r="K192" s="1"/>
  <c r="J193"/>
  <c r="K193" s="1"/>
  <c r="J194"/>
  <c r="K194" s="1"/>
  <c r="J195"/>
  <c r="K195" s="1"/>
  <c r="J196"/>
  <c r="K196" s="1"/>
  <c r="J197"/>
  <c r="K197" s="1"/>
  <c r="J198"/>
  <c r="K198" s="1"/>
  <c r="J199"/>
  <c r="K199" s="1"/>
  <c r="J200"/>
  <c r="K200" s="1"/>
  <c r="J201"/>
  <c r="K201" s="1"/>
  <c r="J202"/>
  <c r="K202" s="1"/>
  <c r="J203"/>
  <c r="K203" s="1"/>
  <c r="J204"/>
  <c r="K204" s="1"/>
  <c r="J205"/>
  <c r="K205" s="1"/>
  <c r="J206"/>
  <c r="K206" s="1"/>
  <c r="J207"/>
  <c r="K207" s="1"/>
  <c r="J208"/>
  <c r="K208" s="1"/>
  <c r="J209"/>
  <c r="K209" s="1"/>
  <c r="J210"/>
  <c r="K210" s="1"/>
  <c r="J211"/>
  <c r="K211" s="1"/>
  <c r="J212"/>
  <c r="K212" s="1"/>
  <c r="J213"/>
  <c r="K213" s="1"/>
  <c r="J214"/>
  <c r="K214" s="1"/>
  <c r="J215"/>
  <c r="K215" s="1"/>
  <c r="J216"/>
  <c r="K216" s="1"/>
  <c r="J217"/>
  <c r="K217" s="1"/>
  <c r="J218"/>
  <c r="K218" s="1"/>
  <c r="J219"/>
  <c r="K219" s="1"/>
  <c r="J220"/>
  <c r="K220" s="1"/>
  <c r="J221"/>
  <c r="K221" s="1"/>
  <c r="J222"/>
  <c r="K222" s="1"/>
  <c r="J223"/>
  <c r="K223" s="1"/>
  <c r="J224"/>
  <c r="K224" s="1"/>
  <c r="J226"/>
  <c r="K226" s="1"/>
  <c r="J227"/>
  <c r="K227" s="1"/>
  <c r="J228"/>
  <c r="K228" s="1"/>
  <c r="J229"/>
  <c r="K229" s="1"/>
  <c r="J230"/>
  <c r="K230" s="1"/>
  <c r="J231"/>
  <c r="K231" s="1"/>
  <c r="J232"/>
  <c r="K232" s="1"/>
  <c r="J233"/>
  <c r="K233" s="1"/>
  <c r="J236"/>
  <c r="K236" s="1"/>
  <c r="J237"/>
  <c r="K237" s="1"/>
  <c r="J238"/>
  <c r="K238" s="1"/>
  <c r="J239"/>
  <c r="K239" s="1"/>
  <c r="J240"/>
  <c r="K240" s="1"/>
  <c r="J241"/>
  <c r="K241" s="1"/>
  <c r="J242"/>
  <c r="K242" s="1"/>
  <c r="J243"/>
  <c r="K243" s="1"/>
  <c r="J244"/>
  <c r="K244" s="1"/>
  <c r="J245"/>
  <c r="K245" s="1"/>
  <c r="J246"/>
  <c r="K246" s="1"/>
  <c r="J176"/>
  <c r="K176" s="1"/>
  <c r="H175"/>
  <c r="J118"/>
  <c r="K118" s="1"/>
  <c r="J119"/>
  <c r="K119" s="1"/>
  <c r="J120"/>
  <c r="K120" s="1"/>
  <c r="J121"/>
  <c r="K121" s="1"/>
  <c r="J122"/>
  <c r="K122" s="1"/>
  <c r="J123"/>
  <c r="K123" s="1"/>
  <c r="J124"/>
  <c r="K124" s="1"/>
  <c r="J125"/>
  <c r="K125" s="1"/>
  <c r="J126"/>
  <c r="K126" s="1"/>
  <c r="J127"/>
  <c r="K127" s="1"/>
  <c r="J128"/>
  <c r="K128" s="1"/>
  <c r="J129"/>
  <c r="K129" s="1"/>
  <c r="J130"/>
  <c r="K130" s="1"/>
  <c r="J131"/>
  <c r="K131" s="1"/>
  <c r="J132"/>
  <c r="K132" s="1"/>
  <c r="J133"/>
  <c r="K133" s="1"/>
  <c r="J134"/>
  <c r="K134" s="1"/>
  <c r="J135"/>
  <c r="K135" s="1"/>
  <c r="J136"/>
  <c r="K136" s="1"/>
  <c r="J137"/>
  <c r="K137" s="1"/>
  <c r="J138"/>
  <c r="K138" s="1"/>
  <c r="J139"/>
  <c r="K139" s="1"/>
  <c r="J140"/>
  <c r="K140" s="1"/>
  <c r="J141"/>
  <c r="K141" s="1"/>
  <c r="J142"/>
  <c r="K142" s="1"/>
  <c r="J143"/>
  <c r="K143" s="1"/>
  <c r="J144"/>
  <c r="K144" s="1"/>
  <c r="L143" s="1"/>
  <c r="J145"/>
  <c r="K145" s="1"/>
  <c r="J146"/>
  <c r="K146" s="1"/>
  <c r="J147"/>
  <c r="K147" s="1"/>
  <c r="J148"/>
  <c r="K148" s="1"/>
  <c r="J149"/>
  <c r="K149" s="1"/>
  <c r="J150"/>
  <c r="K150" s="1"/>
  <c r="J152"/>
  <c r="K152" s="1"/>
  <c r="J153"/>
  <c r="K153" s="1"/>
  <c r="J154"/>
  <c r="K154" s="1"/>
  <c r="J155"/>
  <c r="K155" s="1"/>
  <c r="J156"/>
  <c r="K156" s="1"/>
  <c r="J157"/>
  <c r="K157" s="1"/>
  <c r="J158"/>
  <c r="K158" s="1"/>
  <c r="J159"/>
  <c r="K159" s="1"/>
  <c r="J160"/>
  <c r="K160" s="1"/>
  <c r="J161"/>
  <c r="K161" s="1"/>
  <c r="J162"/>
  <c r="K162" s="1"/>
  <c r="J163"/>
  <c r="K163" s="1"/>
  <c r="J164"/>
  <c r="K164" s="1"/>
  <c r="J165"/>
  <c r="K165" s="1"/>
  <c r="J166"/>
  <c r="K166" s="1"/>
  <c r="J167"/>
  <c r="K167" s="1"/>
  <c r="J168"/>
  <c r="K168" s="1"/>
  <c r="J169"/>
  <c r="K169" s="1"/>
  <c r="J170"/>
  <c r="K170" s="1"/>
  <c r="J171"/>
  <c r="K171" s="1"/>
  <c r="J172"/>
  <c r="K172" s="1"/>
  <c r="J173"/>
  <c r="K173" s="1"/>
  <c r="J111"/>
  <c r="J112"/>
  <c r="K112" s="1"/>
  <c r="J117"/>
  <c r="K117" s="1"/>
  <c r="L114" s="1"/>
  <c r="J110"/>
  <c r="J109"/>
  <c r="H107"/>
  <c r="J107"/>
  <c r="H110"/>
  <c r="H109"/>
  <c r="H104"/>
  <c r="J104"/>
  <c r="H103"/>
  <c r="J103"/>
  <c r="J84"/>
  <c r="K84" s="1"/>
  <c r="J64"/>
  <c r="K64" s="1"/>
  <c r="L57" s="1"/>
  <c r="J63"/>
  <c r="K63" s="1"/>
  <c r="J100"/>
  <c r="J99"/>
  <c r="J98"/>
  <c r="H100"/>
  <c r="J51"/>
  <c r="K51" s="1"/>
  <c r="L50" s="1"/>
  <c r="J80"/>
  <c r="J54"/>
  <c r="K54" s="1"/>
  <c r="J53"/>
  <c r="K53" s="1"/>
  <c r="J36"/>
  <c r="K36" s="1"/>
  <c r="H30"/>
  <c r="J31"/>
  <c r="K31" s="1"/>
  <c r="J30"/>
  <c r="H28"/>
  <c r="J29"/>
  <c r="K29" s="1"/>
  <c r="J28"/>
  <c r="H18"/>
  <c r="H16"/>
  <c r="E96" i="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F60" s="1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F3" s="1"/>
  <c r="E98"/>
  <c r="J90" i="7"/>
  <c r="K90" s="1"/>
  <c r="J91"/>
  <c r="K91" s="1"/>
  <c r="E80" i="9"/>
  <c r="G80" s="1"/>
  <c r="G103"/>
  <c r="E103"/>
  <c r="E85"/>
  <c r="G85" s="1"/>
  <c r="E76"/>
  <c r="G76" s="1"/>
  <c r="E77"/>
  <c r="G77" s="1"/>
  <c r="E78"/>
  <c r="G78" s="1"/>
  <c r="E75"/>
  <c r="G75" s="1"/>
  <c r="E74"/>
  <c r="G74" s="1"/>
  <c r="G100"/>
  <c r="E100"/>
  <c r="G99"/>
  <c r="E99"/>
  <c r="G98"/>
  <c r="E98"/>
  <c r="E97"/>
  <c r="G97" s="1"/>
  <c r="E96"/>
  <c r="G96" s="1"/>
  <c r="E71"/>
  <c r="G71" s="1"/>
  <c r="E94"/>
  <c r="G94" s="1"/>
  <c r="G92"/>
  <c r="E92"/>
  <c r="E93"/>
  <c r="G93" s="1"/>
  <c r="E95"/>
  <c r="G95" s="1"/>
  <c r="E69"/>
  <c r="G69" s="1"/>
  <c r="E70"/>
  <c r="G70" s="1"/>
  <c r="E72"/>
  <c r="G72" s="1"/>
  <c r="E73"/>
  <c r="G73" s="1"/>
  <c r="E68"/>
  <c r="G68" s="1"/>
  <c r="H85" s="1"/>
  <c r="E91"/>
  <c r="G91" s="1"/>
  <c r="H103" s="1"/>
  <c r="J60" i="7"/>
  <c r="K60" s="1"/>
  <c r="J59"/>
  <c r="K59" s="1"/>
  <c r="J58"/>
  <c r="K58" s="1"/>
  <c r="J42"/>
  <c r="K42" s="1"/>
  <c r="J40"/>
  <c r="K40" s="1"/>
  <c r="L259" l="1"/>
  <c r="L173"/>
  <c r="L38"/>
  <c r="L82"/>
  <c r="K16"/>
  <c r="K75"/>
  <c r="K73"/>
  <c r="K18"/>
  <c r="K270"/>
  <c r="K74"/>
  <c r="L66" s="1"/>
  <c r="K100"/>
  <c r="K107"/>
  <c r="K98"/>
  <c r="K103"/>
  <c r="K110"/>
  <c r="K104"/>
  <c r="K99"/>
  <c r="K109"/>
  <c r="K30"/>
  <c r="K28"/>
  <c r="K80"/>
  <c r="L78" s="1"/>
  <c r="J34"/>
  <c r="K34" s="1"/>
  <c r="J25"/>
  <c r="K25" s="1"/>
  <c r="J23"/>
  <c r="J27"/>
  <c r="K27" s="1"/>
  <c r="J26"/>
  <c r="K26" s="1"/>
  <c r="F62" i="9"/>
  <c r="H62" s="1"/>
  <c r="F45"/>
  <c r="F46"/>
  <c r="F47"/>
  <c r="F48"/>
  <c r="F49"/>
  <c r="F50"/>
  <c r="F51"/>
  <c r="F52"/>
  <c r="F53"/>
  <c r="F54"/>
  <c r="F55"/>
  <c r="F56"/>
  <c r="F57"/>
  <c r="F58"/>
  <c r="H58" s="1"/>
  <c r="F59"/>
  <c r="F60"/>
  <c r="F61"/>
  <c r="H61" s="1"/>
  <c r="F42"/>
  <c r="F43"/>
  <c r="F44"/>
  <c r="F41"/>
  <c r="G64" s="1"/>
  <c r="C35"/>
  <c r="C37" s="1"/>
  <c r="C34"/>
  <c r="C33"/>
  <c r="C32"/>
  <c r="C29"/>
  <c r="C26"/>
  <c r="C25"/>
  <c r="O19"/>
  <c r="N19"/>
  <c r="M19"/>
  <c r="L19"/>
  <c r="O4"/>
  <c r="O5"/>
  <c r="O6"/>
  <c r="O7"/>
  <c r="O8"/>
  <c r="O9"/>
  <c r="O11"/>
  <c r="O12"/>
  <c r="O13"/>
  <c r="O14"/>
  <c r="O15"/>
  <c r="O16"/>
  <c r="O3"/>
  <c r="N6"/>
  <c r="N7"/>
  <c r="N8"/>
  <c r="N9"/>
  <c r="N10"/>
  <c r="N11"/>
  <c r="N12"/>
  <c r="N13"/>
  <c r="N14"/>
  <c r="N15"/>
  <c r="N16"/>
  <c r="N3"/>
  <c r="M4"/>
  <c r="M5"/>
  <c r="M6"/>
  <c r="M7"/>
  <c r="M8"/>
  <c r="M10"/>
  <c r="M12"/>
  <c r="M13"/>
  <c r="M15"/>
  <c r="M16"/>
  <c r="M3"/>
  <c r="L4"/>
  <c r="L5"/>
  <c r="L6"/>
  <c r="L7"/>
  <c r="L9"/>
  <c r="L10"/>
  <c r="L11"/>
  <c r="L12"/>
  <c r="L13"/>
  <c r="L14"/>
  <c r="J13"/>
  <c r="H13" s="1"/>
  <c r="I9"/>
  <c r="M9" s="1"/>
  <c r="G11"/>
  <c r="I11" s="1"/>
  <c r="M11" s="1"/>
  <c r="G10"/>
  <c r="I10" s="1"/>
  <c r="O10" s="1"/>
  <c r="G9"/>
  <c r="G8"/>
  <c r="I8" s="1"/>
  <c r="L8" s="1"/>
  <c r="J3"/>
  <c r="H3" s="1"/>
  <c r="G4"/>
  <c r="G5"/>
  <c r="G3"/>
  <c r="L88" i="7" l="1"/>
  <c r="O18" i="9"/>
  <c r="O20" s="1"/>
  <c r="K23" i="7"/>
  <c r="L21" s="1"/>
  <c r="I3" i="9"/>
  <c r="L3" s="1"/>
  <c r="H4"/>
  <c r="I13"/>
  <c r="H14"/>
  <c r="I84" i="3"/>
  <c r="O53"/>
  <c r="O55"/>
  <c r="O56"/>
  <c r="K54"/>
  <c r="O54" s="1"/>
  <c r="O52"/>
  <c r="O58" s="1"/>
  <c r="L4" i="7" l="1"/>
  <c r="H5" i="9"/>
  <c r="I5" s="1"/>
  <c r="N5" s="1"/>
  <c r="I4"/>
  <c r="N4" s="1"/>
  <c r="H15"/>
  <c r="I14"/>
  <c r="M14" s="1"/>
  <c r="M18" s="1"/>
  <c r="M20" s="1"/>
  <c r="C29" i="8"/>
  <c r="L16" i="4"/>
  <c r="K17"/>
  <c r="K18"/>
  <c r="L18"/>
  <c r="K19"/>
  <c r="L19"/>
  <c r="K20"/>
  <c r="L20"/>
  <c r="K24"/>
  <c r="K25"/>
  <c r="L25"/>
  <c r="K26"/>
  <c r="L26"/>
  <c r="L27"/>
  <c r="K30"/>
  <c r="K31"/>
  <c r="L31"/>
  <c r="K32"/>
  <c r="L32"/>
  <c r="K33"/>
  <c r="K34"/>
  <c r="L34"/>
  <c r="K35"/>
  <c r="L35"/>
  <c r="K36"/>
  <c r="L36"/>
  <c r="K37"/>
  <c r="L37"/>
  <c r="L15"/>
  <c r="K15"/>
  <c r="J16"/>
  <c r="J17"/>
  <c r="J18"/>
  <c r="J19"/>
  <c r="J20"/>
  <c r="J24"/>
  <c r="J25"/>
  <c r="J26"/>
  <c r="J27"/>
  <c r="J30"/>
  <c r="J31"/>
  <c r="J32"/>
  <c r="J33"/>
  <c r="J34"/>
  <c r="J35"/>
  <c r="J36"/>
  <c r="J37"/>
  <c r="J15"/>
  <c r="J39" s="1"/>
  <c r="J40" s="1"/>
  <c r="I31"/>
  <c r="I32"/>
  <c r="I33"/>
  <c r="I35"/>
  <c r="I36"/>
  <c r="I16"/>
  <c r="I17"/>
  <c r="I18"/>
  <c r="I19"/>
  <c r="I20"/>
  <c r="I24"/>
  <c r="I26"/>
  <c r="I27"/>
  <c r="I30"/>
  <c r="I15"/>
  <c r="G16"/>
  <c r="K16" s="1"/>
  <c r="G17"/>
  <c r="L17" s="1"/>
  <c r="L39" s="1"/>
  <c r="L40" s="1"/>
  <c r="G18"/>
  <c r="G19"/>
  <c r="G20"/>
  <c r="G15"/>
  <c r="G25"/>
  <c r="I25" s="1"/>
  <c r="G26"/>
  <c r="G27"/>
  <c r="K27" s="1"/>
  <c r="G28"/>
  <c r="G29"/>
  <c r="G30"/>
  <c r="L30" s="1"/>
  <c r="G31"/>
  <c r="G32"/>
  <c r="G33"/>
  <c r="L33" s="1"/>
  <c r="G34"/>
  <c r="I34" s="1"/>
  <c r="G35"/>
  <c r="G36"/>
  <c r="G37"/>
  <c r="I37" s="1"/>
  <c r="G24"/>
  <c r="L24" s="1"/>
  <c r="F9"/>
  <c r="F10" s="1"/>
  <c r="F11" s="1"/>
  <c r="F8"/>
  <c r="F6"/>
  <c r="F4"/>
  <c r="C6"/>
  <c r="P35" i="8" l="1"/>
  <c r="D13"/>
  <c r="D12"/>
  <c r="D20"/>
  <c r="D17"/>
  <c r="D18"/>
  <c r="D15"/>
  <c r="D23"/>
  <c r="D14"/>
  <c r="D22"/>
  <c r="D11"/>
  <c r="D10"/>
  <c r="D19"/>
  <c r="D21"/>
  <c r="D16"/>
  <c r="L8" i="7"/>
  <c r="I39" i="4"/>
  <c r="I40" s="1"/>
  <c r="K39"/>
  <c r="K40" s="1"/>
  <c r="H16" i="9"/>
  <c r="I16" s="1"/>
  <c r="L16" s="1"/>
  <c r="I15"/>
  <c r="L15" s="1"/>
  <c r="L18" s="1"/>
  <c r="L20" s="1"/>
  <c r="Q20" s="1"/>
  <c r="N18"/>
  <c r="N20" s="1"/>
  <c r="P31" i="8"/>
  <c r="P36"/>
  <c r="P37" l="1"/>
</calcChain>
</file>

<file path=xl/sharedStrings.xml><?xml version="1.0" encoding="utf-8"?>
<sst xmlns="http://schemas.openxmlformats.org/spreadsheetml/2006/main" count="1614" uniqueCount="801">
  <si>
    <t>Resumo de materiais</t>
  </si>
  <si>
    <t>-</t>
  </si>
  <si>
    <t>COBERTURA</t>
  </si>
  <si>
    <t>PISO SUPERIOR</t>
  </si>
  <si>
    <t>Piso 2: COBERTURA</t>
  </si>
  <si>
    <t>Bitola</t>
  </si>
  <si>
    <t>3.2</t>
  </si>
  <si>
    <t>4.2</t>
  </si>
  <si>
    <t>5.0</t>
  </si>
  <si>
    <t>6.3</t>
  </si>
  <si>
    <t>8.0</t>
  </si>
  <si>
    <t>10.0</t>
  </si>
  <si>
    <t>12.5</t>
  </si>
  <si>
    <t>16.0</t>
  </si>
  <si>
    <t>20.0</t>
  </si>
  <si>
    <t>25.0</t>
  </si>
  <si>
    <t>32.0</t>
  </si>
  <si>
    <t>40.0</t>
  </si>
  <si>
    <t>Aço</t>
  </si>
  <si>
    <t>Concreto</t>
  </si>
  <si>
    <t>Forma</t>
  </si>
  <si>
    <t>Fck</t>
  </si>
  <si>
    <t>kg</t>
  </si>
  <si>
    <t>m3</t>
  </si>
  <si>
    <t>m2</t>
  </si>
  <si>
    <t>MPa</t>
  </si>
  <si>
    <t>Pilares</t>
  </si>
  <si>
    <t>Vigas</t>
  </si>
  <si>
    <t>Lajes</t>
  </si>
  <si>
    <t>Fundações</t>
  </si>
  <si>
    <t>Outros</t>
  </si>
  <si>
    <t>Totais</t>
  </si>
  <si>
    <t>Piso 0: Fundacao</t>
  </si>
  <si>
    <t>m</t>
  </si>
  <si>
    <t>L=</t>
  </si>
  <si>
    <t xml:space="preserve">B = </t>
  </si>
  <si>
    <t>Q=</t>
  </si>
  <si>
    <t xml:space="preserve">PP = </t>
  </si>
  <si>
    <t>M=</t>
  </si>
  <si>
    <t>X</t>
  </si>
  <si>
    <t>C</t>
  </si>
  <si>
    <t>BIT</t>
  </si>
  <si>
    <t>N1</t>
  </si>
  <si>
    <t>N2</t>
  </si>
  <si>
    <t>N3</t>
  </si>
  <si>
    <t>N4</t>
  </si>
  <si>
    <t>N5</t>
  </si>
  <si>
    <t>N6</t>
  </si>
  <si>
    <t>MATERIAIS ESCADAS</t>
  </si>
  <si>
    <t>ESCADA INTERNA</t>
  </si>
  <si>
    <t>BROCA</t>
  </si>
  <si>
    <t>BLOCO</t>
  </si>
  <si>
    <t>PILAR</t>
  </si>
  <si>
    <t>VIGA 15X30</t>
  </si>
  <si>
    <t>VIGA 15X40</t>
  </si>
  <si>
    <t>somas</t>
  </si>
  <si>
    <t>Lista de materiais do projeto eletrico NEAT</t>
  </si>
  <si>
    <t>Elétrica - Acessórios p/ eletrodutos</t>
  </si>
  <si>
    <t>Caixa PVC</t>
  </si>
  <si>
    <t>4x2"</t>
  </si>
  <si>
    <t>51 pç</t>
  </si>
  <si>
    <t>4x2" estanque</t>
  </si>
  <si>
    <t>12 pç</t>
  </si>
  <si>
    <t>Condulete alum. encaixe tipo C</t>
  </si>
  <si>
    <t>1/2" sem tampa</t>
  </si>
  <si>
    <t>3 pç</t>
  </si>
  <si>
    <t>Luva PVC rosca</t>
  </si>
  <si>
    <t>1.1/2"</t>
  </si>
  <si>
    <t>1 pç</t>
  </si>
  <si>
    <t>1/2"</t>
  </si>
  <si>
    <t>4 pç</t>
  </si>
  <si>
    <t>Luva aço galvan. leve</t>
  </si>
  <si>
    <t>1"</t>
  </si>
  <si>
    <t>5 pç</t>
  </si>
  <si>
    <t>Elétrica - Acessórios uso geral</t>
  </si>
  <si>
    <t>Bucha de nylon</t>
  </si>
  <si>
    <t>S4</t>
  </si>
  <si>
    <t>58 pç</t>
  </si>
  <si>
    <t>S6</t>
  </si>
  <si>
    <t>23 pç</t>
  </si>
  <si>
    <t>Fita isolante autofusão</t>
  </si>
  <si>
    <t>20m</t>
  </si>
  <si>
    <t>Parafuso fenda galvan. cab. panela</t>
  </si>
  <si>
    <t>2,9x25mm autoatarrachante</t>
  </si>
  <si>
    <t>4,2x32mm autoatarrachante</t>
  </si>
  <si>
    <t>Elétrica - Cabo Unipolar (cobre)</t>
  </si>
  <si>
    <t>Isol.HEPR - ench.EVA - 0,6/1kV (ref. Pirelli Afumex)</t>
  </si>
  <si>
    <t>1.5 mm²</t>
  </si>
  <si>
    <t>790,10 m</t>
  </si>
  <si>
    <t>16 mm²</t>
  </si>
  <si>
    <t>45,70 m</t>
  </si>
  <si>
    <t>2.5 mm²</t>
  </si>
  <si>
    <t>500,50 m</t>
  </si>
  <si>
    <t>25 mm²</t>
  </si>
  <si>
    <t>137,00 m</t>
  </si>
  <si>
    <t>4 mm²</t>
  </si>
  <si>
    <t>138,40 m</t>
  </si>
  <si>
    <t>6 mm²</t>
  </si>
  <si>
    <t>184,60 m</t>
  </si>
  <si>
    <t>Elétrica - Caixa de passagem - embutir</t>
  </si>
  <si>
    <t>Alvenaria</t>
  </si>
  <si>
    <t>400x400x400mm</t>
  </si>
  <si>
    <t>Tampa 400x400x50mm</t>
  </si>
  <si>
    <t>Elétrica - Caixa de passagem - sobrepor</t>
  </si>
  <si>
    <t>PVC (ref Cemar)</t>
  </si>
  <si>
    <t>185x210x74 mm</t>
  </si>
  <si>
    <t>Elétrica - Dispositivo Elétrico - embutido</t>
  </si>
  <si>
    <t>Tomada  2P+T - 16A</t>
  </si>
  <si>
    <t>Placa 2x4"</t>
  </si>
  <si>
    <t>Placa p/ 1 função retangular</t>
  </si>
  <si>
    <t>S/ placa</t>
  </si>
  <si>
    <t>Interruptor 1 tecla simples</t>
  </si>
  <si>
    <t>31 pç</t>
  </si>
  <si>
    <t>2 pç</t>
  </si>
  <si>
    <t>Elétrica - Dispositivo Elétrico - sobrepor</t>
  </si>
  <si>
    <t>Conjunto tomada NEMA 3P &amp; disjuntor (3 a 5xIn)</t>
  </si>
  <si>
    <t>Disj. bipolar 20 A</t>
  </si>
  <si>
    <t>interruptor 1 tecla simples</t>
  </si>
  <si>
    <t>interruptor 1 tecla simples c/ sinalizador</t>
  </si>
  <si>
    <t>Tampa alum. p/ condulete 1/2"</t>
  </si>
  <si>
    <t>1 função retangular</t>
  </si>
  <si>
    <t>Elétrica - Dispositivo de Proteção</t>
  </si>
  <si>
    <t>Disjuntor Unipolar Termomagnético - norma DIN</t>
  </si>
  <si>
    <t>10 A</t>
  </si>
  <si>
    <t>14 pç</t>
  </si>
  <si>
    <t>32 A</t>
  </si>
  <si>
    <t>40 A</t>
  </si>
  <si>
    <t>63 A</t>
  </si>
  <si>
    <t>Elétrica - Eletroduto PVC flexível</t>
  </si>
  <si>
    <t>Eletroduto leve</t>
  </si>
  <si>
    <t>20,30 m</t>
  </si>
  <si>
    <t>3/4"</t>
  </si>
  <si>
    <t>365,80 m</t>
  </si>
  <si>
    <t>Eletroduto pesado</t>
  </si>
  <si>
    <t>25,60 m</t>
  </si>
  <si>
    <t>2"</t>
  </si>
  <si>
    <t>43,30 m</t>
  </si>
  <si>
    <t>Elétrica - Eletroduto PVC rosca</t>
  </si>
  <si>
    <t>Braçadeira PVC encaixe</t>
  </si>
  <si>
    <t>49 pç</t>
  </si>
  <si>
    <t>Braçadeira galvan. tipo cunha</t>
  </si>
  <si>
    <t>Eletroduto, vara 3,0m</t>
  </si>
  <si>
    <t>6,10 m</t>
  </si>
  <si>
    <t>63,20 m</t>
  </si>
  <si>
    <t>3,46 m</t>
  </si>
  <si>
    <t>2.1/2"</t>
  </si>
  <si>
    <t>2,00 m</t>
  </si>
  <si>
    <t>Elétrica - Eletroduto metálico rígido leve</t>
  </si>
  <si>
    <t>17 pç</t>
  </si>
  <si>
    <t>Eletroduto galvanizado, vara 3,0m</t>
  </si>
  <si>
    <t>18,50 m</t>
  </si>
  <si>
    <t>Elétrica - Luminária e acessórios</t>
  </si>
  <si>
    <t>Luminária Led</t>
  </si>
  <si>
    <t>TD 51 2x18W</t>
  </si>
  <si>
    <t>95 pç</t>
  </si>
  <si>
    <t>Soquete</t>
  </si>
  <si>
    <t>base G 13</t>
  </si>
  <si>
    <t>Elétrica - Lâmpadas Led</t>
  </si>
  <si>
    <t>Refletores</t>
  </si>
  <si>
    <t>30W</t>
  </si>
  <si>
    <t>Tubular Led</t>
  </si>
  <si>
    <t>18W</t>
  </si>
  <si>
    <t>Elétrica - Material p/ entrada serviço</t>
  </si>
  <si>
    <t>Cinta de aço inox p/ poste</t>
  </si>
  <si>
    <t>2 partes c/ parafuso e porca</t>
  </si>
  <si>
    <t>Cinta quadrada aço galvan. p/ poste</t>
  </si>
  <si>
    <t>50x160mm</t>
  </si>
  <si>
    <t>Haste de aterramento aço/cobre</t>
  </si>
  <si>
    <t>D=15mm, comprimento 2,4m</t>
  </si>
  <si>
    <t>Isolador roldana 600V</t>
  </si>
  <si>
    <t>Porcelana vidrada</t>
  </si>
  <si>
    <t>Poste metálico oco</t>
  </si>
  <si>
    <t>Comprimento 6,0m</t>
  </si>
  <si>
    <t>Elétrica - Quadro distrib. chapa pintada - embutir</t>
  </si>
  <si>
    <t>Barr. trif., disj geral, compacto - DIN (Ref. Moratori)</t>
  </si>
  <si>
    <t>Cap. 15 disj. unip. - In barr. 100 A</t>
  </si>
  <si>
    <t>Elétrica - Quadro distrib. plástico - embutir</t>
  </si>
  <si>
    <t>Barr. bif., - DIN (Ref. Hager)</t>
  </si>
  <si>
    <t>Cap. 12 disj. unip. - In Pente 80A</t>
  </si>
  <si>
    <t>Lógica - Acessórios p/ eletrodutos</t>
  </si>
  <si>
    <t>8 pç</t>
  </si>
  <si>
    <t>Lógica - Dispositivo Lógica - embutir</t>
  </si>
  <si>
    <t>Placa 2x4</t>
  </si>
  <si>
    <t>Tomada p/ cabo coaxial</t>
  </si>
  <si>
    <t>Lógica - Eletroduto PVC flexível</t>
  </si>
  <si>
    <t>13,80 m</t>
  </si>
  <si>
    <t>54,70 m</t>
  </si>
  <si>
    <t>TV Cabo - Acessórios p/ eletrodutos</t>
  </si>
  <si>
    <t>TV Cabo - Dispositivo TV/Som</t>
  </si>
  <si>
    <t>tomada 2P e tomada TV/SAT</t>
  </si>
  <si>
    <t>Telefônica (dutos) - Acessórios p/ eletrodutos</t>
  </si>
  <si>
    <t>Telefônica (dutos) - Dispositivo Elétrico - embutido</t>
  </si>
  <si>
    <t>Placa p/ 1 função redonda</t>
  </si>
  <si>
    <t>6 pç</t>
  </si>
  <si>
    <t>Tomada telefone RJ11 retangular</t>
  </si>
  <si>
    <t>Tomada telefone redonda 4P</t>
  </si>
  <si>
    <t>Telefônica (dutos) - Eletroduto PVC flexível</t>
  </si>
  <si>
    <t>71,70 m</t>
  </si>
  <si>
    <t>Lista de materiais do projeto NEAT AGUA</t>
  </si>
  <si>
    <t>Esgoto - Caixas de Passagem</t>
  </si>
  <si>
    <t>Caixa de inspeção esgoto simples</t>
  </si>
  <si>
    <t>CE- 60x60 cm</t>
  </si>
  <si>
    <t>3 pç</t>
  </si>
  <si>
    <t>Esgoto - PVC Acessórios</t>
  </si>
  <si>
    <t>Sifão de copo p/ pia e lavatório</t>
  </si>
  <si>
    <t>1" - 1.1/2"</t>
  </si>
  <si>
    <t>6 pç</t>
  </si>
  <si>
    <t>1" - 2"</t>
  </si>
  <si>
    <t>4 pç</t>
  </si>
  <si>
    <t>Sifão flexível c/ Adaptador</t>
  </si>
  <si>
    <t>1.1/4" - 2"</t>
  </si>
  <si>
    <t>1 pç</t>
  </si>
  <si>
    <t>Válvula p/ lavatório e tanque</t>
  </si>
  <si>
    <t>Válvula p/ pia</t>
  </si>
  <si>
    <t>Válvula p/ tanque</t>
  </si>
  <si>
    <t>40 mm</t>
  </si>
  <si>
    <t>Esgoto - PVC Esgoto</t>
  </si>
  <si>
    <t>Curva 90 curta</t>
  </si>
  <si>
    <t>100 mm</t>
  </si>
  <si>
    <t>2 pç</t>
  </si>
  <si>
    <t>Joelho 45</t>
  </si>
  <si>
    <t>50 mm</t>
  </si>
  <si>
    <t>Joelho 90</t>
  </si>
  <si>
    <t>13 pç</t>
  </si>
  <si>
    <t>Joelho 90 c/ visita</t>
  </si>
  <si>
    <t>100 mm - 50 mm</t>
  </si>
  <si>
    <t>Joelho 90 c/anel p/ esgoto secundário</t>
  </si>
  <si>
    <t>40 mm - 1.1/2"</t>
  </si>
  <si>
    <t>Junção simples</t>
  </si>
  <si>
    <t>50 mm - 50 mm</t>
  </si>
  <si>
    <t>Luva</t>
  </si>
  <si>
    <t>18 pç</t>
  </si>
  <si>
    <t>Luva simples</t>
  </si>
  <si>
    <t>10 pç</t>
  </si>
  <si>
    <t>31 pç</t>
  </si>
  <si>
    <t>Tubo rígido c/ ponta e bolsa soldável</t>
  </si>
  <si>
    <t>1,36 m</t>
  </si>
  <si>
    <t>Tubo rígido c/ ponta lisa</t>
  </si>
  <si>
    <t>100 mm - 4"</t>
  </si>
  <si>
    <t>66,48 m</t>
  </si>
  <si>
    <t>9,08 m</t>
  </si>
  <si>
    <t>50 mm - 2"</t>
  </si>
  <si>
    <t>23,85 m</t>
  </si>
  <si>
    <t>Tê 90</t>
  </si>
  <si>
    <t>Tê sanitário</t>
  </si>
  <si>
    <t>50 mm -50 mm</t>
  </si>
  <si>
    <t>5 pç</t>
  </si>
  <si>
    <t>Pluvial - PVC Acessórios</t>
  </si>
  <si>
    <t>Grelha redonda p/ cx sifo e ralo seco</t>
  </si>
  <si>
    <t>7 pç</t>
  </si>
  <si>
    <t>Ralo corpo sifonado cilíndrico</t>
  </si>
  <si>
    <t>100x40mm</t>
  </si>
  <si>
    <t>Água fria - Aparelho</t>
  </si>
  <si>
    <t>25mm - 3/4"</t>
  </si>
  <si>
    <t>25 mm - 1/2"</t>
  </si>
  <si>
    <t>Vaso Sanitário c/ cx. acoplada</t>
  </si>
  <si>
    <t>Água fria - Metais</t>
  </si>
  <si>
    <t>Registro de gaveta bruto ABNT</t>
  </si>
  <si>
    <t>Água fria - PVC Acessórios</t>
  </si>
  <si>
    <t>Bolsa de ligação p/ vaso sanitário</t>
  </si>
  <si>
    <t>Engate flexível cobre cromado com canopla</t>
  </si>
  <si>
    <t>1/2 - 30cm</t>
  </si>
  <si>
    <t>Engate flexível plástico</t>
  </si>
  <si>
    <t>Água fria - PVC misto soldável</t>
  </si>
  <si>
    <t>Joelho de redução soldável c/ rosca</t>
  </si>
  <si>
    <t>32 mm - 3/4"</t>
  </si>
  <si>
    <t>Água fria - PVC rígido soldável</t>
  </si>
  <si>
    <t>Adapt sold.curto c/bolsa-rosca p registro</t>
  </si>
  <si>
    <t>25 mm - 3/4"</t>
  </si>
  <si>
    <t>Joelho 90º soldável</t>
  </si>
  <si>
    <t>25 mm</t>
  </si>
  <si>
    <t>Tubos</t>
  </si>
  <si>
    <t>69,98 m</t>
  </si>
  <si>
    <t>Água fria - PVC soldável azul c/ bucha latão</t>
  </si>
  <si>
    <t>Joelho 90º soldável com  bucha de latão</t>
  </si>
  <si>
    <t>Joelho de redução 90º soldável com bucha de latão</t>
  </si>
  <si>
    <t>25 mm- 1/2"</t>
  </si>
  <si>
    <t>Tê red.90 sold c/ bucha latão B central</t>
  </si>
  <si>
    <t>25 mm -1/2"</t>
  </si>
  <si>
    <t>Tê sold c/ bucha latão bolsa central</t>
  </si>
  <si>
    <t>25 mm- 3/4"</t>
  </si>
  <si>
    <t>PLANILHA ORÇAMENTÁRIA</t>
  </si>
  <si>
    <t>LOCAL: UENP CLM</t>
  </si>
  <si>
    <t xml:space="preserve">BDI = </t>
  </si>
  <si>
    <t>ÍTEM</t>
  </si>
  <si>
    <t>CÓD.</t>
  </si>
  <si>
    <t>FONTE</t>
  </si>
  <si>
    <t>DESCRIÇÃO DOS SERVIÇOS</t>
  </si>
  <si>
    <t xml:space="preserve"> R$ UNIT.  SEM BDI</t>
  </si>
  <si>
    <t xml:space="preserve"> R$ UNIT.  COM BDI</t>
  </si>
  <si>
    <t>VALOR (R$)</t>
  </si>
  <si>
    <t>TOTAL DO ÍTEM</t>
  </si>
  <si>
    <t>SERVIÇOS A EXECUTAR</t>
  </si>
  <si>
    <t>SERVIÇOS</t>
  </si>
  <si>
    <t>TOTAIS</t>
  </si>
  <si>
    <t>1º mês</t>
  </si>
  <si>
    <t>2º mês</t>
  </si>
  <si>
    <t>3º mês</t>
  </si>
  <si>
    <t>4º mês</t>
  </si>
  <si>
    <t>5º mês</t>
  </si>
  <si>
    <t>6º mês</t>
  </si>
  <si>
    <t>VALOR</t>
  </si>
  <si>
    <t xml:space="preserve">% </t>
  </si>
  <si>
    <t>%</t>
  </si>
  <si>
    <t>valor</t>
  </si>
  <si>
    <t>PARCIAIS</t>
  </si>
  <si>
    <t>ACUMULADOS</t>
  </si>
  <si>
    <t>data</t>
  </si>
  <si>
    <t>Engenheiro</t>
  </si>
  <si>
    <t>CREA:</t>
  </si>
  <si>
    <t>Obra: REFORMA NEAT</t>
  </si>
  <si>
    <t>Obra: REFORMA - NEAT</t>
  </si>
  <si>
    <t>MESES</t>
  </si>
  <si>
    <t>CRONOGRAMA FÍSICO-FINANCEIRO</t>
  </si>
  <si>
    <t>m³</t>
  </si>
  <si>
    <t xml:space="preserve"> ESCAVAÇÃO MANUAL PARA BLOCO ,  SAPATA </t>
  </si>
  <si>
    <t>74156/003</t>
  </si>
  <si>
    <t>m²</t>
  </si>
  <si>
    <t>Piso 3: CUMEEIRA</t>
  </si>
  <si>
    <t>0.1</t>
  </si>
  <si>
    <t>1.0</t>
  </si>
  <si>
    <t>1.1</t>
  </si>
  <si>
    <t>3.5</t>
  </si>
  <si>
    <t>4.4</t>
  </si>
  <si>
    <t>7.9</t>
  </si>
  <si>
    <t>Piso 1: SUPERIOR</t>
  </si>
  <si>
    <t>7.1</t>
  </si>
  <si>
    <t>11.4</t>
  </si>
  <si>
    <t>21.5</t>
  </si>
  <si>
    <t>9.9</t>
  </si>
  <si>
    <t>10.2</t>
  </si>
  <si>
    <t>20.1</t>
  </si>
  <si>
    <t>Elemento     Área        Área de    Volume de  Comprimento  Comprimento</t>
  </si>
  <si>
    <t xml:space="preserve">           Estruturada    formas     concreto       linear   médio vãos</t>
  </si>
  <si>
    <t xml:space="preserve">              (m2)         (m2)         (m3)          (m)          (m)</t>
  </si>
  <si>
    <t xml:space="preserve">   V1          1.87         9.37          .56        12.50         3.12</t>
  </si>
  <si>
    <t xml:space="preserve">   V2           .81         4.01          .24         5.34         1.78</t>
  </si>
  <si>
    <t xml:space="preserve">   V3           .56         2.78          .17         3.71         1.86</t>
  </si>
  <si>
    <t xml:space="preserve">   V4           .30         1.56          .09         2.08         2.08</t>
  </si>
  <si>
    <t xml:space="preserve">   V5           .11          .56          .03          .75          .75</t>
  </si>
  <si>
    <t xml:space="preserve">   V6           .83         4.08          .25         5.45         1.82</t>
  </si>
  <si>
    <t xml:space="preserve">   V7          2.00        10.04          .60        13.39         2.68</t>
  </si>
  <si>
    <t xml:space="preserve">   V8          2.42        11.88          .73        15.84         3.17</t>
  </si>
  <si>
    <t xml:space="preserve">   V9          1.03         5.14          .31         6.86         3.43</t>
  </si>
  <si>
    <t xml:space="preserve">   V10          .97         4.79          .29         6.38         2.13</t>
  </si>
  <si>
    <t xml:space="preserve">   V11         1.53         9.62          .61        10.13         2.53</t>
  </si>
  <si>
    <t xml:space="preserve">   V12         2.42        15.27          .97        16.07         3.21</t>
  </si>
  <si>
    <t xml:space="preserve">   V13          .61         3.90          .25         4.10         4.10</t>
  </si>
  <si>
    <t xml:space="preserve">   V14          .84         4.19          .25         5.59         2.80</t>
  </si>
  <si>
    <t xml:space="preserve">   V15          .98         4.91          .30         6.55         3.27</t>
  </si>
  <si>
    <t xml:space="preserve">   V16         1.80        11.42          .72        12.03         4.01</t>
  </si>
  <si>
    <t xml:space="preserve">   V17          .29         1.45          .09         1.93         1.93</t>
  </si>
  <si>
    <t xml:space="preserve">   V18         1.80        11.42          .72        12.02         3.01</t>
  </si>
  <si>
    <t xml:space="preserve">   V19          .30         1.63          .09         2.18         2.18</t>
  </si>
  <si>
    <t xml:space="preserve">   V20         1.06         5.33          .32         7.10         3.55</t>
  </si>
  <si>
    <t xml:space="preserve">   V21          .30         1.53          .09         2.04         2.04</t>
  </si>
  <si>
    <t xml:space="preserve">   V22         1.34         6.75          .40         9.00         3.00</t>
  </si>
  <si>
    <t xml:space="preserve">   V23          .63         3.15          .19         4.20         4.20</t>
  </si>
  <si>
    <t xml:space="preserve">   V24          .57         2.95          .17         3.93         1.31</t>
  </si>
  <si>
    <t xml:space="preserve">   V25         1.78        11.30          .71        11.89         2.38</t>
  </si>
  <si>
    <t xml:space="preserve">   V26         1.80         9.00          .54        12.00         4.00</t>
  </si>
  <si>
    <t xml:space="preserve">   V27          .61         3.06          .18         4.07         2.04</t>
  </si>
  <si>
    <t xml:space="preserve">          ---------    ---------    ---------    ---------    ---------</t>
  </si>
  <si>
    <t xml:space="preserve">              29.60       161.10         9.87       197.14         2.74</t>
  </si>
  <si>
    <t xml:space="preserve">          ---------    ---------    ---------</t>
  </si>
  <si>
    <t xml:space="preserve">Total         29.60       161.10         9.87                            </t>
  </si>
  <si>
    <t>fundação</t>
  </si>
  <si>
    <t xml:space="preserve">   V1           .83         5.23          .33         5.50         2.75</t>
  </si>
  <si>
    <t xml:space="preserve">   V2          1.05         5.74          .42         6.92         3.46</t>
  </si>
  <si>
    <t xml:space="preserve">   V3          1.29         6.34          .52         8.62         2.87</t>
  </si>
  <si>
    <t xml:space="preserve">   V4          1.47         7.35          .59         9.83         2.46</t>
  </si>
  <si>
    <t xml:space="preserve">   V5          1.87         9.34          .75        12.37         3.09</t>
  </si>
  <si>
    <t xml:space="preserve">   V6          2.42        11.84          .97        16.07         3.21</t>
  </si>
  <si>
    <t xml:space="preserve">   V7          1.60         7.60          .64        10.70         5.35</t>
  </si>
  <si>
    <t xml:space="preserve">   V8          2.42        13.34          .97        16.07         3.21</t>
  </si>
  <si>
    <t xml:space="preserve">   V9          1.81        10.04          .73        12.10         4.03</t>
  </si>
  <si>
    <t xml:space="preserve">   V10         1.83        16.17         1.10        12.23         4.08</t>
  </si>
  <si>
    <t xml:space="preserve">   V11         1.80         8.59          .72        12.10         4.03</t>
  </si>
  <si>
    <t xml:space="preserve">   V12          .32         1.83          .13         2.20         2.20</t>
  </si>
  <si>
    <t xml:space="preserve">   V13         1.80         9.40          .72        12.02         3.01</t>
  </si>
  <si>
    <t xml:space="preserve">   V14         1.38         6.57          .55         9.25         4.63</t>
  </si>
  <si>
    <t xml:space="preserve">   V15         1.39         6.67          .55         9.40         3.13</t>
  </si>
  <si>
    <t xml:space="preserve">   V16         1.79         9.45          .71        11.97         2.39</t>
  </si>
  <si>
    <t xml:space="preserve">   V17         1.80         9.96          .72        12.00         4.00</t>
  </si>
  <si>
    <t xml:space="preserve">   V18          .63         3.46          .25         4.17         2.09</t>
  </si>
  <si>
    <t xml:space="preserve">              27.51       148.92        11.37       183.53         3.28</t>
  </si>
  <si>
    <t xml:space="preserve">                                                 Volume de</t>
  </si>
  <si>
    <t xml:space="preserve">                                                 topo (m3)</t>
  </si>
  <si>
    <t xml:space="preserve">   P1           .06         3.00          .18          .04</t>
  </si>
  <si>
    <t xml:space="preserve">   P2           .06         3.00          .18          .02</t>
  </si>
  <si>
    <t xml:space="preserve">   P3           .06         3.00          .18          .02</t>
  </si>
  <si>
    <t xml:space="preserve">   P4           .06         3.00          .18          .02</t>
  </si>
  <si>
    <t xml:space="preserve">   P5           .06         3.00          .18          .02</t>
  </si>
  <si>
    <t xml:space="preserve">   P6           .06         3.00          .18          .02</t>
  </si>
  <si>
    <t xml:space="preserve">   P7           .06         3.00          .18          .02</t>
  </si>
  <si>
    <t xml:space="preserve">   P8           .06         3.00          .18          .02</t>
  </si>
  <si>
    <t xml:space="preserve">   P9           .04         2.70          .14          .02</t>
  </si>
  <si>
    <t xml:space="preserve">   P12          .04         2.70          .14          .02</t>
  </si>
  <si>
    <t xml:space="preserve">   P13          .04         2.70          .14          .02</t>
  </si>
  <si>
    <t xml:space="preserve">   P16          .06         3.00          .18          .04</t>
  </si>
  <si>
    <t xml:space="preserve">   P17          .06         3.00          .18          .02</t>
  </si>
  <si>
    <t xml:space="preserve">   P18          .06         3.00          .18          .02</t>
  </si>
  <si>
    <t xml:space="preserve">   P19          .06         3.00          .18          .02</t>
  </si>
  <si>
    <t xml:space="preserve">   P21          .06         3.00          .18          .04</t>
  </si>
  <si>
    <t xml:space="preserve">   P22          .06         3.00          .18          .02</t>
  </si>
  <si>
    <t xml:space="preserve">   P23          .06         3.00          .18          .02</t>
  </si>
  <si>
    <t xml:space="preserve">   P24          .06         3.00          .18          .02</t>
  </si>
  <si>
    <t xml:space="preserve">   P25          .06         3.00          .18          .02</t>
  </si>
  <si>
    <t xml:space="preserve">   P26          .06         3.00          .18          .02</t>
  </si>
  <si>
    <t xml:space="preserve">   P27          .06         3.00          .18          .04</t>
  </si>
  <si>
    <t xml:space="preserve">   P28          .06         3.00          .18          .02</t>
  </si>
  <si>
    <t xml:space="preserve">   P29          .06         3.00          .18          .02</t>
  </si>
  <si>
    <t xml:space="preserve">   P30          .06         3.00          .18          .02</t>
  </si>
  <si>
    <t xml:space="preserve">   P31          .06         3.00          .18          .02</t>
  </si>
  <si>
    <t xml:space="preserve">   P32          .06         3.00          .18          .02</t>
  </si>
  <si>
    <t xml:space="preserve">   P34          .06         3.00          .18          .02</t>
  </si>
  <si>
    <t xml:space="preserve">   P35          .06         3.00          .18          .02</t>
  </si>
  <si>
    <t xml:space="preserve">   P36          .06         3.00          .18          .02</t>
  </si>
  <si>
    <t xml:space="preserve">   P40          .06         3.00          .18          .02</t>
  </si>
  <si>
    <t xml:space="preserve">   P41          .06         3.00          .18          .02</t>
  </si>
  <si>
    <t xml:space="preserve">   P44          .06         3.00          .18          .02</t>
  </si>
  <si>
    <t xml:space="preserve">   P45          .06         3.00          .18          .02</t>
  </si>
  <si>
    <t xml:space="preserve">   P46          .06         3.00          .18          .02</t>
  </si>
  <si>
    <t xml:space="preserve">   P47          .06         3.00          .18          .02</t>
  </si>
  <si>
    <t xml:space="preserve">   P48          .06         3.00          .18          .02</t>
  </si>
  <si>
    <t xml:space="preserve">   P49          .06         3.00          .18          .02</t>
  </si>
  <si>
    <t xml:space="preserve">   P50          .06         3.00          .18          .02</t>
  </si>
  <si>
    <t xml:space="preserve">   P51          .06         3.00          .18          .02</t>
  </si>
  <si>
    <t xml:space="preserve">          ---------    ---------    ---------    ---------</t>
  </si>
  <si>
    <t xml:space="preserve">               2.35       119.10         7.06          .99</t>
  </si>
  <si>
    <t xml:space="preserve">   L1          9.74          .00          .63   H 12.0 (  7.0+  5.0) H07/33/120</t>
  </si>
  <si>
    <t xml:space="preserve">   L2         12.11          .00          .79   H 12.0 (  7.0+  5.0) H07/33/120</t>
  </si>
  <si>
    <t xml:space="preserve">   L3         16.87          .00         1.10   H 12.0 (  7.0+  5.0) H07/33/120</t>
  </si>
  <si>
    <t xml:space="preserve">   L4         13.56          .00          .88   H 12.0 (  7.0+  5.0) H07/33/120</t>
  </si>
  <si>
    <t xml:space="preserve">   L5          8.55          .00          .56   H 12.0 (  7.0+  5.0) H07/33/120</t>
  </si>
  <si>
    <t xml:space="preserve">   L6          1.92          .00          .12   H 12.0 (  7.0+  5.0) H07/33/120</t>
  </si>
  <si>
    <t xml:space="preserve">   L7          8.15          .00          .53   H 12.0 (  7.0+  5.0) H07/33/120</t>
  </si>
  <si>
    <t xml:space="preserve">   L8          6.56          .00          .43   H 12.0 (  7.0+  5.0) H07/33/120</t>
  </si>
  <si>
    <t xml:space="preserve">   L9         17.20          .00         1.12   H 12.0 (  7.0+  5.0) H07/33/120</t>
  </si>
  <si>
    <t xml:space="preserve">   L10        20.99          .00         1.36   H 12.0 (  7.0+  5.0) H07/33/120</t>
  </si>
  <si>
    <t xml:space="preserve">   L11        66.56          .00         4.33   H 12.0 (  7.0+  5.0) H07/33/120</t>
  </si>
  <si>
    <t xml:space="preserve">   L12        37.87          .00         2.46   H 12.0 (  7.0+  5.0) H07/33/120</t>
  </si>
  <si>
    <t xml:space="preserve">   L13        78.90          .00         5.13   H 12.0 (  7.0+  5.0) H07/33/120</t>
  </si>
  <si>
    <t xml:space="preserve">   L14        32.30          .00         2.10   H 12.0 (  7.0+  5.0) H07/33/120</t>
  </si>
  <si>
    <t xml:space="preserve">             331.28          .00        21.53</t>
  </si>
  <si>
    <t xml:space="preserve">Total        361.14       268.02        39.97                              </t>
  </si>
  <si>
    <t xml:space="preserve">Espessura média das lajes =    11.1 cm                </t>
  </si>
  <si>
    <t xml:space="preserve">   V1          1.05         6.65          .42         7.00         3.50</t>
  </si>
  <si>
    <t xml:space="preserve">   V8001        .85         5.37          .34         5.65         2.82</t>
  </si>
  <si>
    <t xml:space="preserve">   V2          1.05         6.67          .42         7.02         3.51</t>
  </si>
  <si>
    <t xml:space="preserve">   V8002        .85         5.37          .34         5.65         2.82</t>
  </si>
  <si>
    <t xml:space="preserve">   V3          1.83        16.51         1.10        12.23         4.08</t>
  </si>
  <si>
    <t xml:space="preserve">   V8003        .85         5.37          .34         5.65         2.82</t>
  </si>
  <si>
    <t xml:space="preserve">   V4          1.81        11.42          .72        12.02         3.01</t>
  </si>
  <si>
    <t xml:space="preserve">   V5          1.81        11.44          .72        12.04         3.01</t>
  </si>
  <si>
    <t xml:space="preserve">              10.09        68.78         4.40        67.25         3.20</t>
  </si>
  <si>
    <t xml:space="preserve">   P1           .06         3.00          .18          .12</t>
  </si>
  <si>
    <t xml:space="preserve">   P21          .06         3.00          .18          .12</t>
  </si>
  <si>
    <t xml:space="preserve">   P27          .06         3.00          .18          .12</t>
  </si>
  <si>
    <t xml:space="preserve">   P52          .03         2.10          .09          .01</t>
  </si>
  <si>
    <t xml:space="preserve">               1.17        59.10         3.51          .76</t>
  </si>
  <si>
    <t xml:space="preserve">Total         11.26       127.88         7.91                              </t>
  </si>
  <si>
    <t>CUMEEIRA</t>
  </si>
  <si>
    <t xml:space="preserve">   V8004        .45         2.15          .14         2.87         2.87</t>
  </si>
  <si>
    <t xml:space="preserve">   V8005        .64         3.11          .19         4.14         4.14</t>
  </si>
  <si>
    <t xml:space="preserve">   V8006        .44         2.08          .13         2.77         2.77</t>
  </si>
  <si>
    <t xml:space="preserve">   V8007        .64         3.11          .19         4.14         4.14</t>
  </si>
  <si>
    <t xml:space="preserve">   V8008        .64         3.14          .19         4.19         4.19</t>
  </si>
  <si>
    <t xml:space="preserve">   V8009        .46         2.19          .14         2.92         2.92</t>
  </si>
  <si>
    <t xml:space="preserve">               3.28        15.77          .98        21.03         3.51</t>
  </si>
  <si>
    <t xml:space="preserve">   P4           .06          .60          .04          .02</t>
  </si>
  <si>
    <t xml:space="preserve">   P24          .06          .60          .04          .02</t>
  </si>
  <si>
    <t xml:space="preserve">   P30          .06          .60          .04          .02</t>
  </si>
  <si>
    <t xml:space="preserve">                .18         1.80          .11          .05</t>
  </si>
  <si>
    <t xml:space="preserve">Total          3.46        17.57         1.09                              </t>
  </si>
  <si>
    <t xml:space="preserve">Espessura média das lajes =    31.6 cm                </t>
  </si>
  <si>
    <t>FORMA BLOCOS</t>
  </si>
  <si>
    <t xml:space="preserve"> ARMAÇÃO DE ESTACAS _AÇO CA-50, CA-60 </t>
  </si>
  <si>
    <t>INFRAESTRUTURA - BROCAS + BLOCOS + VIGAS BALDRAME</t>
  </si>
  <si>
    <t>ESTACA A TRADO (BROCA) , EM CONCRETO MOLDADO IN LOCO - CONCRETO 20 MPA</t>
  </si>
  <si>
    <t xml:space="preserve"> un.</t>
  </si>
  <si>
    <t>BL 1</t>
  </si>
  <si>
    <t>FI</t>
  </si>
  <si>
    <t>QDE</t>
  </si>
  <si>
    <t>UNIT</t>
  </si>
  <si>
    <t>C TOTAL</t>
  </si>
  <si>
    <t>K</t>
  </si>
  <si>
    <t>BL2</t>
  </si>
  <si>
    <t>BL3</t>
  </si>
  <si>
    <t>ARMAÇÃO DE VIGAS BALDRAME</t>
  </si>
  <si>
    <t xml:space="preserve"> ARMAÇÃO DE BLOCOS</t>
  </si>
  <si>
    <t>V1</t>
  </si>
  <si>
    <t>V2</t>
  </si>
  <si>
    <t>V3</t>
  </si>
  <si>
    <t>V4</t>
  </si>
  <si>
    <t>V6</t>
  </si>
  <si>
    <t>V7</t>
  </si>
  <si>
    <t>V8</t>
  </si>
  <si>
    <t>V14 V15</t>
  </si>
  <si>
    <t>V18</t>
  </si>
  <si>
    <t>V25</t>
  </si>
  <si>
    <t>V23 A V27</t>
  </si>
  <si>
    <t>M3   BADRAME</t>
  </si>
  <si>
    <t>CONCRETO 20 MPA  VIGAS BALDRAME</t>
  </si>
  <si>
    <t>89462 ALVENARIA DE BLOCOS DE CONCRETO ESTRUTURAL 14X19X29 CM, (ESPESSURA 14 CM), FBK = 4,5 MPA, PARA PAREDES COM ÁREA LÍQUIDA MENOR QUE 6M², SEM VÃOS, UTILIZANDO PALHETA. AF_12/2014 M2 AS 63,48</t>
  </si>
  <si>
    <t>JANELAS</t>
  </si>
  <si>
    <t>J1</t>
  </si>
  <si>
    <t>J2</t>
  </si>
  <si>
    <t>J3</t>
  </si>
  <si>
    <t>J3A</t>
  </si>
  <si>
    <t>J6</t>
  </si>
  <si>
    <t>J10</t>
  </si>
  <si>
    <t>J17</t>
  </si>
  <si>
    <t>P1 MADEIRA</t>
  </si>
  <si>
    <t>PV1</t>
  </si>
  <si>
    <t>PV2</t>
  </si>
  <si>
    <t>PV3</t>
  </si>
  <si>
    <t>JV2</t>
  </si>
  <si>
    <t>DV-ROGERIO</t>
  </si>
  <si>
    <t>DV-ESCRIT</t>
  </si>
  <si>
    <t>J6A</t>
  </si>
  <si>
    <t>(X)</t>
  </si>
  <si>
    <t>PV 11</t>
  </si>
  <si>
    <t>ÁREA</t>
  </si>
  <si>
    <t>PV 12</t>
  </si>
  <si>
    <t>CONCRETO 20 MPA  BLOCOS</t>
  </si>
  <si>
    <t xml:space="preserve"> BLOCOS </t>
  </si>
  <si>
    <t>ARMAÇÃO DE VIGAS superior</t>
  </si>
  <si>
    <t>LAJE PISO</t>
  </si>
  <si>
    <t xml:space="preserve">74202/002 LAJE PRE-MOLDADA P/PISO, SOBRECARGA 200KG/M2, VAOS ATE 3,50M/E=8CM, C/LAJOTAS E CAP.C/CONC FCK=20MPA, 4CM, INTER-EIXO 38CM, C/ESCORAMENTO (REAPR.3X) E FERRAGEM NEGATIVA </t>
  </si>
  <si>
    <t>PILARES</t>
  </si>
  <si>
    <t>ARMAÇÃO DE PILARES</t>
  </si>
  <si>
    <t>CONCRETO 25 MPA  PILARES</t>
  </si>
  <si>
    <t>CONCRETO 25 MPA  VIGAS superior</t>
  </si>
  <si>
    <t xml:space="preserve"> CONCRETAGEM DE PILARES, FCK = 25 MPA</t>
  </si>
  <si>
    <t>TRELIÇA - 15M = 3X</t>
  </si>
  <si>
    <t>TRELIÇA - 20M = 3X</t>
  </si>
  <si>
    <t>LARG</t>
  </si>
  <si>
    <t>ALT</t>
  </si>
  <si>
    <t>AREA</t>
  </si>
  <si>
    <t>NOME</t>
  </si>
  <si>
    <t>J4</t>
  </si>
  <si>
    <t>J5</t>
  </si>
  <si>
    <t>J7</t>
  </si>
  <si>
    <t>J8</t>
  </si>
  <si>
    <t>J9</t>
  </si>
  <si>
    <t>PORTAS</t>
  </si>
  <si>
    <t>TOTAL</t>
  </si>
  <si>
    <t>VIDRO</t>
  </si>
  <si>
    <t>MADEIRA</t>
  </si>
  <si>
    <t>P1</t>
  </si>
  <si>
    <t>PV4</t>
  </si>
  <si>
    <t>PV3A</t>
  </si>
  <si>
    <t>PV5</t>
  </si>
  <si>
    <t>PV6</t>
  </si>
  <si>
    <t>PV7</t>
  </si>
  <si>
    <t>PV8</t>
  </si>
  <si>
    <t>PV9</t>
  </si>
  <si>
    <t>J11</t>
  </si>
  <si>
    <t>J12</t>
  </si>
  <si>
    <t>J13</t>
  </si>
  <si>
    <t>J14</t>
  </si>
  <si>
    <t>J15</t>
  </si>
  <si>
    <t>J16</t>
  </si>
  <si>
    <t>J16A</t>
  </si>
  <si>
    <t>PV10</t>
  </si>
  <si>
    <t>PV11</t>
  </si>
  <si>
    <t>PV12</t>
  </si>
  <si>
    <t>PORTA DE VIDRO</t>
  </si>
  <si>
    <t>PORTA 80X210</t>
  </si>
  <si>
    <t>JANELA DE VIDRO</t>
  </si>
  <si>
    <t>PÇ</t>
  </si>
  <si>
    <t>PORTA DE MADEIRA 80X210 - completa</t>
  </si>
  <si>
    <t>JANELA DE VIDRO - correr</t>
  </si>
  <si>
    <t>73910/008 PORTA DE MADEIRA COMPENSADA LISA PARA PINTURA, 120X210X3,5CM, 2 FOLHAS , INCLUSO ADUELA 2A, ALIZAR 2A E DOBRADICAS UN AS 681,57</t>
  </si>
  <si>
    <t>90802 ADUELA / MARCO / BATENTE PARA PORTA DE 80X210CM, PADRÃO MÉDIO - FORNECIMENTO E MONTAGEM. AF_08/2015 UN CR 203,10</t>
  </si>
  <si>
    <t xml:space="preserve">73910/008 </t>
  </si>
  <si>
    <t>CUSTO</t>
  </si>
  <si>
    <t>ESGOTO</t>
  </si>
  <si>
    <t>R$_UN</t>
  </si>
  <si>
    <t xml:space="preserve"> lavatório completo - louça</t>
  </si>
  <si>
    <t>2pç</t>
  </si>
  <si>
    <t xml:space="preserve"> Pia de Cozinha - duas cubas - completa</t>
  </si>
  <si>
    <t xml:space="preserve"> Pia de Cozinha - uma cuba - completa</t>
  </si>
  <si>
    <t>ÁGUA FRIA</t>
  </si>
  <si>
    <t>95777 CONDULETE DE ALUMÍNIO, TIPO B, PARA ELETRODUTO DE AÇO GALVANIZADO DN 2 UN CR 22,49</t>
  </si>
  <si>
    <t>91926 CABO DE COBRE FLEXÍVEL ISOLADO, 2,5 MM², ANTI-CHAMA 450/750 V, PARA CI M CR 2,50</t>
  </si>
  <si>
    <t>CONDULETE PARA TOMADA</t>
  </si>
  <si>
    <t>CONDULETE PARA INTERRUPTOR</t>
  </si>
  <si>
    <t>ARMAÇÃO DE VIGAS cobertura</t>
  </si>
  <si>
    <t>CONCRETO 25 MPA  VIGAS cobertura</t>
  </si>
  <si>
    <t xml:space="preserve">TELHAMENTO </t>
  </si>
  <si>
    <t>96358 PAREDE COM PLACAS DE GESSO ACARTONADO (DRYWALL), PARA USO INTERNO, COM DUAS FACES SIMPLES E ESTRUTURA METÁLICA COM GUIAS SIMPLES, SEM VÃOS. M2 AS 76,38</t>
  </si>
  <si>
    <t>94993 EXECUÇÃO DE PASSEIO (CALÇADA) OU PISO DE CONCRETO COM CONCRETO MOLDADO IN LOCO, USINADO, ACABAMENTO CONVENCIONAL, ESPESSURA 6 CM, ARMADO.  M2 AS 44,49</t>
  </si>
  <si>
    <t>CONCRETO 25 MPA  VIGAS cobertura - eitão</t>
  </si>
  <si>
    <t>ARMAÇÃO DE VIGAS cobertura - eitão</t>
  </si>
  <si>
    <t xml:space="preserve"> FÔRMAs PARA  ESTRUTURAS , EM MADEIRA SERRADA  </t>
  </si>
  <si>
    <t>PEITORIL DA ESCADA [ 7,30X1,20]</t>
  </si>
  <si>
    <t>ÁGUA FRIA E PEÇAS SANITÁRIAS</t>
  </si>
  <si>
    <t>PAREDE INTERNA  EM GESSO ACARTONADO H=2,8m&gt;&gt;&gt;&gt;85 M2</t>
  </si>
  <si>
    <t>74079/001 PISO CIMENTADO TRACO 1:4 (CIMENTO E AREIA) COM ACABAMENTO LISO ESPESSURA 2,0CM COM JUNTAS PLASTICAS DE DILATACAO E PREPARO MANUAL DA ARGAMASSA [ INFERIOR+MEZANINO+ AUDITÓRIO]M2 CR 65,91</t>
  </si>
  <si>
    <t>INFERIOR + AUDITÓRIO = 260 m²</t>
  </si>
  <si>
    <t>MEZANINO = 85,15</t>
  </si>
  <si>
    <t>PORTA DE VIDRO 10MM CORRER</t>
  </si>
  <si>
    <t>PV1 (200X210)  .&gt;&gt;&gt;  3X</t>
  </si>
  <si>
    <t>PV2 (600X250) &gt;&gt;&gt;&gt;&gt; 1X</t>
  </si>
  <si>
    <t>JANELA DE VIDRO 8 mm - FIXO</t>
  </si>
  <si>
    <t>J1 (60X40) &gt;&gt;&gt;2X</t>
  </si>
  <si>
    <t>J2 (1000X40) &gt;&gt;&gt;1X</t>
  </si>
  <si>
    <t>J6 (200X150) &gt;&gt;&gt; 2X</t>
  </si>
  <si>
    <t>JANELA DE VIDRO 8 mm - BASCULANTE</t>
  </si>
  <si>
    <t>50 m</t>
  </si>
  <si>
    <t>12 m</t>
  </si>
  <si>
    <t xml:space="preserve"> lavatório EM BANCADA DE GRANITO - 1 CUBA  completo </t>
  </si>
  <si>
    <t>86893 BANCADA DE MÁRMORE BRANCO POLIDO, 1,50 X 0,40 M  com CUBA DE EMBUTIR OVAL EM LOUÇA BRANCA, 35 X 50CM OU EQUIVALENTE, TORNEIRA CROMADA, VÁLVULA, SIFÃO- FORNECIMENTO E INSTALAÇÃO. AF_12/2013 UN CR 336,95</t>
  </si>
  <si>
    <t>86931 VASO SANITÁRIO SIFONADO COM CAIXA ACOPLADA LOUÇA BRANCA, INCLUSO ENGATE FLEXÍVEL EM PLÁSTICO BRANCO, 1/2 X 40CM - FORNECIMENTO E INSTALAÇÃO UN AS 410,26</t>
  </si>
  <si>
    <t>40 m</t>
  </si>
  <si>
    <t>37 pç</t>
  </si>
  <si>
    <t>593,90 m</t>
  </si>
  <si>
    <t>182,70 m</t>
  </si>
  <si>
    <t>13 pç</t>
  </si>
  <si>
    <t>22 pç</t>
  </si>
  <si>
    <t>229,90 m</t>
  </si>
  <si>
    <t>18,40 m</t>
  </si>
  <si>
    <t>91940 CAIXA RETANGULAR 4" X 2" MÉDIA (1,30 M DO PISO), PVC, INSTALADA EM PAR UN CR 12,57</t>
  </si>
  <si>
    <t>Interruptor 1 tecla simples + condulete</t>
  </si>
  <si>
    <t>Tomada hexagonal (NBR 14136) 2P+T 10A + condulete</t>
  </si>
  <si>
    <t>95814 CONDULETE DE PVC, TIPO TB, PARA ELETRODUTO DE PVC SOLDÁVEL DN 25 MM</t>
  </si>
  <si>
    <t>91927 CABO DE COBRE FLEXÍVEL ISOLADO, 2,5 MM², ANTI-CHAMA 0,6/1,0 KV, PARA CIRCUITOS TERMINAIS - FORNECIMENTO E INSTALAÇÃO. AF_12/2015 M CR 3,08</t>
  </si>
  <si>
    <t>91942 CAIXA RETANGULAR 4" X 4" ALTA , PVC, INSTALADA EM PAREDE - FORNECIMENTO E INSTALAÇÃO.</t>
  </si>
  <si>
    <t>91834 ELETRODUTO FLEXÍVEL CORRUGADO, PVC, DN 25 MM (3/4"),32MM (1") PARA CIRCUITOS TE M CR 6,82</t>
  </si>
  <si>
    <t>Luminária Led TUBULAR</t>
  </si>
  <si>
    <t>LUMINÁRIA TIPO CALHA, DE SOBREPOR, COM 1 LÂMPADA LED  TUBULAR DE 18 W  COMPLETA- FORNECIMENTO E INSTALAÇÃO UN CR 37,96</t>
  </si>
  <si>
    <t>74131/004 QUADRO DE DISTRIBUICAO DE ENERGIA DE EMBUTIR, EM CHAPA METALICA, PARA 18 DISJUNTORES TERMOMAGNETICOS MONOPOLARES, COM BARRAMENTO TRIFASICO E NEUTRO, FORNECIMENTO E INSTALACAO UN CR 345,41</t>
  </si>
  <si>
    <t xml:space="preserve">74131/004 </t>
  </si>
  <si>
    <t>72337 TOMADA PARA TELEFONE DE 4 POLOS PADRAO TELEBRAS +TOMADA PARA LÓGICA- FORNECIMENTO E INSTA UN CR 22,59</t>
  </si>
  <si>
    <t>PINTURA</t>
  </si>
  <si>
    <t>CORRIMÃO DE METAL + VIDRO [ESCADA] 12m</t>
  </si>
  <si>
    <t>74072/002 CORRIMAO EM TUBO ACO GALVANIZADO 2 1/2" COM BRACADEIRA M CR 124,85</t>
  </si>
  <si>
    <t>emboço sob laje mezanino = 85,0m²</t>
  </si>
  <si>
    <t>87529 MASSA ÚNICA, PARA RECEBIMENTO DE PINTURA, EM ARGAMASSA TRAÇO 1:2:8, PR M2 AS 25,23</t>
  </si>
  <si>
    <t>87884 CHAPISCO APLICADO NO TETO, COM ROLO PARA TEXTURA ACRÍLICA. ARGAMASSA INDUSTRIALIZADA COM PREPARO MANUAL. AF_06/2014 M2 CR 7,15</t>
  </si>
  <si>
    <t>PINTURA PAREDE INTERNA  + TETO MEZANINO(840 m²)</t>
  </si>
  <si>
    <t>PINTURA EXTERNA TEXTURA sobre blocos de cimento (420,0m²)</t>
  </si>
  <si>
    <t>ANDAIMES, LIMPEZA, BOTA FORA</t>
  </si>
  <si>
    <t>PORTA DE FERRO  [PF 1] (REAPROVEITAMENTO)</t>
  </si>
  <si>
    <t>pç</t>
  </si>
  <si>
    <t>74245/001</t>
  </si>
  <si>
    <t>89046 (COMPOSIÇÃO REPRESENTATIVA) DO SERVIÇO DE REVESTIMENTO CERÂMICO COM PLACAS TIPO GRÉS DE DIMENSÕES 35X35 CM CR 31,89</t>
  </si>
  <si>
    <t xml:space="preserve">REVISTIMENTO CERAMICO PARA PAREDE. </t>
  </si>
  <si>
    <t>LAVANDERIA,  NO TANQUE : [1,60X1,50M]</t>
  </si>
  <si>
    <t>COPA.  [5,70x1,50]</t>
  </si>
  <si>
    <t>WC.   [7,0x1,50]</t>
  </si>
  <si>
    <t>PRELIMINARES E FUNDAÇÃO</t>
  </si>
  <si>
    <t>RASGO EM PAREDE,  PISO PARA INSERÇÃO DE ESTRUTURAS, RAMAIS DE ESGOTO, ÁGUA, ELÉTRICA. 25,74</t>
  </si>
  <si>
    <t xml:space="preserve"> DEMOLIÇÃO DE ALVENARIA DE BLOCO FURADO, DE FORMA MANUAL, SEM REAPROVEITAMENTO M3 CR 47,49</t>
  </si>
  <si>
    <t>SUPRAESTRUTURA</t>
  </si>
  <si>
    <t>1.2</t>
  </si>
  <si>
    <t>1.3</t>
  </si>
  <si>
    <t>1.4</t>
  </si>
  <si>
    <t>1.5</t>
  </si>
  <si>
    <t>1.6</t>
  </si>
  <si>
    <t>1.7</t>
  </si>
  <si>
    <t>1.8</t>
  </si>
  <si>
    <t>1.9</t>
  </si>
  <si>
    <t>74202/002</t>
  </si>
  <si>
    <t>74079/001</t>
  </si>
  <si>
    <t>74072/002</t>
  </si>
  <si>
    <t>FORRO</t>
  </si>
  <si>
    <t xml:space="preserve"> VIDROS</t>
  </si>
  <si>
    <t>ELÉTRICA, LÓGICA e TELEFONE</t>
  </si>
  <si>
    <t>mês</t>
  </si>
  <si>
    <t>TEXTURA ACRÍLICA, APLICAÇÃO MANUAL EM PAREDE, UMA DEMÃO. AF_09/2016 M2 CR 10,98 [EXTERNO]</t>
  </si>
  <si>
    <t xml:space="preserve"> PINTURA ACRILICA EM PISO CIMENTADO DUAS DEMAOS M2 CR 14,44</t>
  </si>
  <si>
    <t xml:space="preserve"> APLICAÇÃO MANUAL DE FUNDO SELADOR ACRÍLICO EM PANOS COM PRESENÇA DE VÃOS DE EDIFÍCIOS DE MÚLTIPLOS PAVIMENTOS. AF_06/2014 M2 CR 2,22 [INTERNO]</t>
  </si>
  <si>
    <t>APLICAÇÃO MANUAL DE FUNDO SELADOR ACRÍLICO EM PANOS COM PRESENÇA DE VÃOS DE EDIFÍCIOS DE MÚLTIPLOS PAVIMENTOS. AF_06/2014 M2 CR 2,22 [EXTERNO]</t>
  </si>
  <si>
    <t>ALVENARIA E PAREDES DE GESSO ACARTONADO</t>
  </si>
  <si>
    <t>CONTRAPISO E PISO</t>
  </si>
  <si>
    <t>LASTRO DE CONCRETO MAGRO, APLICADO EM PISOS OU RADIERS, ESPESSURA DE 5 M2 AS 20,48 - [PARTE NOVA]</t>
  </si>
  <si>
    <t>CONTRAPISO EM ARGAMASSA TRAÇO 1:4 (CIMENTO E AREIA), PREPARO MECÂNICO COM BETONEIRA 400 L, APLICADO EM ÁREAS SECAS SOBRE LAJE, ADERIDO, ESPESSURA 2CM. AF_06/2014 M2 AS 25,10 [PARTE NOVA]</t>
  </si>
  <si>
    <t xml:space="preserve"> CONTRAPISO EM ARGAMASSA TRAÇO 1:4 (CIMENTO E AREIA), PREPARO MECÂNICO COM BETONEIRA 400 L, APLICADO EM ÁREAS SECAS SOBRE LAJE, ADERIDO, ESPESSURA 2CM. AF_06/2014 M2 AS 25,10 [PARTE NOVA - SUPERIOR]</t>
  </si>
  <si>
    <t>REVESTIMENTO DE PAREDE E LAJE</t>
  </si>
  <si>
    <t>CALÇADA EXTERNA</t>
  </si>
  <si>
    <t xml:space="preserve"> JANELA DE ALUMÍNIO DE CORRER, 4 FOLHAS, FIXAÇÃO COM PARAFUSO SOBRE CONTRAMARCO (EXCLUSIVE CONTRAMARCO), COM VIDROS, PADRONIZADA. AF_07/2016 M2 AS 352,36</t>
  </si>
  <si>
    <t xml:space="preserve">ESGOTO </t>
  </si>
  <si>
    <t>94207 TELHAMENTO COM TELHA ONDULADA DE FIBROCIMENTO E = 6 MM, COM RECOBRIMENTO LATERAL DE 1/4 DE ONDA PARA TELHADO COM INCLINAÇÃO MAIOR QUE 10°, OM ATÉ 2 ÁGUAS, INCLUSO IÇAMENTO. AF_06/2016 M2 AS 30,55</t>
  </si>
  <si>
    <t xml:space="preserve"> TELHAMENTO COM TELHA METÁLICA TERMOACÚSTICA E = 30 MM [aço_isopor_aço], COM ATÉ 2 ÁGUAS  [parte existente]&gt;&gt;&gt;&gt;318,0m²</t>
  </si>
  <si>
    <t xml:space="preserve"> TELHAMENTO COM TELHA METÁLICA TERMOACÚSTICA E = 30 MM [aço_isopor_aço], COM ATÉ 2 ÁGUAS  - [parte nova]&gt;&gt; 150,0m²</t>
  </si>
  <si>
    <t>FORRO em DRY WALL  [MEZANINO] = 75,30m²</t>
  </si>
  <si>
    <t>FORRO EM DRY WALL  [EXISTENTE+AUDITÓRIO] = 195,0m²</t>
  </si>
  <si>
    <t>FORRO EM DRY WALL  [REUNIÃO] = 20,0m²</t>
  </si>
  <si>
    <t xml:space="preserve"> APLICAÇÃO MANUAL DE TINTA LÁTEX ACRÍLICA EM PANOS COM PRESENÇA DE VÃOS M2 CR 11,65 [INTERNO &gt;&gt; PAREDE +FORRO DRY WALL]</t>
  </si>
  <si>
    <t>SALA ROGERIO _CORREDOR [8,0X2,70]&gt;&gt;&gt;21,6 m²</t>
  </si>
  <si>
    <t>SALA TV NEAT [8,50X2,70]&gt;&gt;&gt;22,95 m²</t>
  </si>
  <si>
    <t xml:space="preserve">72120 VIDRO TEMPERADO INCOLOR, ESPESSURA 10MM, FORNECIMENTO E INSTALACAO, INCUSO PORTA DE VIDRO M2 CR 240,0 </t>
  </si>
  <si>
    <t>96110 FORRO EM DRYWALL, PARA AMBIENTES RESIDENCIAIS, INCLUSIVE ESTRUTURA DE M2 AS 55,0</t>
  </si>
  <si>
    <t xml:space="preserve">92610 FABRICAÇÃO E INSTALAÇÃO DE TESOURA INTEIRA EM AÇO, VÃO DE 7 M, PARA TELHA ONDULADA DE FIBROCIMENTO, METÁLICA, PLÁSTICA OU TERMOACÚSTICA, INCLUSO IÇAMENTO e INSTALAÇÃO DE TERÇAS </t>
  </si>
  <si>
    <t>92610 FABRICAÇÃO E INSTALAÇÃO DE TESOURA INTEIRA EM AÇO, VÃO DE 7 M, PARA TELHA ONDULADA DE FIBROCIMENTO, METÁLICA, PLÁSTICA OU TERMOACÚSTICA, INCLUSO IÇAMENTO e INSTALAÇÃO DE TERÇAS</t>
  </si>
  <si>
    <t>CALÇADA EXTERNA - PERÍMETRO (96,0m²) + JARDIM(16,0m²)+garagem (35m²) = 112,0m²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</si>
  <si>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</si>
  <si>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</si>
  <si>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</si>
  <si>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</si>
  <si>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</si>
  <si>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</si>
  <si>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</si>
  <si>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</si>
  <si>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</si>
  <si>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</si>
  <si>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</si>
  <si>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3.3</t>
  </si>
  <si>
    <t>3.4</t>
  </si>
  <si>
    <t>4.1</t>
  </si>
  <si>
    <t>5.1</t>
  </si>
  <si>
    <t>5.2</t>
  </si>
  <si>
    <t>5.3</t>
  </si>
  <si>
    <t>5.4</t>
  </si>
  <si>
    <t>5.5</t>
  </si>
  <si>
    <t>5.6</t>
  </si>
  <si>
    <t>6.1</t>
  </si>
  <si>
    <t>6.2</t>
  </si>
  <si>
    <t>6.4</t>
  </si>
  <si>
    <t>6.5</t>
  </si>
  <si>
    <t>8.1</t>
  </si>
  <si>
    <t>8.2</t>
  </si>
  <si>
    <t>8.3</t>
  </si>
  <si>
    <t>9.1</t>
  </si>
  <si>
    <t>9.2</t>
  </si>
  <si>
    <t>9.3</t>
  </si>
  <si>
    <t>9.4</t>
  </si>
  <si>
    <t>CORRIMÃO, ESQUADRIAS, PORTAS e VIDROS</t>
  </si>
  <si>
    <t>9.5</t>
  </si>
  <si>
    <t>9.6</t>
  </si>
  <si>
    <t>9.7</t>
  </si>
  <si>
    <t>9.8</t>
  </si>
  <si>
    <t>9.10</t>
  </si>
  <si>
    <t>9.11</t>
  </si>
  <si>
    <t>9.12</t>
  </si>
  <si>
    <t>10.1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</si>
  <si>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</si>
  <si>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</si>
  <si>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</si>
  <si>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</si>
  <si>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</si>
  <si>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</si>
  <si>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</si>
  <si>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</si>
  <si>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</si>
  <si>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</si>
  <si>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</si>
  <si>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</si>
  <si>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</si>
  <si>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11.1</t>
  </si>
  <si>
    <t>11.2</t>
  </si>
  <si>
    <t>11.3</t>
  </si>
  <si>
    <t>11.5</t>
  </si>
  <si>
    <t>11.6</t>
  </si>
  <si>
    <t>11.7</t>
  </si>
  <si>
    <t>11.8</t>
  </si>
  <si>
    <t>11.9</t>
  </si>
  <si>
    <t>11.10</t>
  </si>
  <si>
    <t>11.11</t>
  </si>
  <si>
    <t>12.1</t>
  </si>
  <si>
    <t>12.2</t>
  </si>
  <si>
    <t>12.3</t>
  </si>
  <si>
    <t>12.4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</si>
  <si>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</si>
  <si>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</si>
  <si>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</si>
  <si>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</si>
  <si>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</si>
  <si>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</si>
  <si>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</si>
  <si>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</si>
  <si>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</si>
  <si>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</si>
  <si>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</si>
  <si>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</si>
  <si>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</si>
  <si>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</si>
  <si>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</si>
  <si>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</si>
  <si>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</si>
  <si>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</si>
  <si>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</si>
  <si>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</si>
  <si>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</si>
  <si>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</si>
  <si>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</si>
  <si>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</si>
  <si>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13.1</t>
  </si>
  <si>
    <t>13.2</t>
  </si>
  <si>
    <t>13.3</t>
  </si>
  <si>
    <t>13.4</t>
  </si>
  <si>
    <t>13.5</t>
  </si>
  <si>
    <t>TOTAL EXECUTADO</t>
  </si>
  <si>
    <t>Local:UENP_CLM</t>
  </si>
  <si>
    <t>Nota: A empresa construtora poderá apresentar cronograma alternativo, respeitando o prazo máximo de execução.</t>
  </si>
  <si>
    <t>Prazo máximo de execução:</t>
  </si>
  <si>
    <t>UN.</t>
  </si>
  <si>
    <t>Qde.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</si>
</sst>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_-* #,##0_-;\-* #,##0_-;_-* &quot;-&quot;??_-;_-@_-"/>
  </numFmts>
  <fonts count="17">
    <font>
      <sz val="11"/>
      <color theme="1"/>
      <name val="Calibri"/>
      <family val="2"/>
      <scheme val="minor"/>
    </font>
    <font>
      <sz val="9.9"/>
      <color rgb="FF000000"/>
      <name val="Courier New"/>
      <family val="3"/>
    </font>
    <font>
      <b/>
      <sz val="16.5"/>
      <color rgb="FF0066CC"/>
      <name val="Arial"/>
      <family val="2"/>
    </font>
    <font>
      <sz val="13.5"/>
      <color rgb="FF000000"/>
      <name val="Courier New"/>
      <family val="3"/>
    </font>
    <font>
      <sz val="10"/>
      <color rgb="FF000000"/>
      <name val="Courier New"/>
      <family val="3"/>
    </font>
    <font>
      <sz val="14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0"/>
      <name val="Arial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/>
    <xf numFmtId="16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85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right" wrapText="1"/>
    </xf>
    <xf numFmtId="0" fontId="0" fillId="0" borderId="0" xfId="0" applyAlignment="1">
      <alignment textRotation="90"/>
    </xf>
    <xf numFmtId="0" fontId="0" fillId="0" borderId="0" xfId="0" applyAlignment="1"/>
    <xf numFmtId="0" fontId="11" fillId="0" borderId="0" xfId="0" applyFont="1" applyAlignment="1"/>
    <xf numFmtId="164" fontId="11" fillId="0" borderId="0" xfId="1" applyNumberFormat="1" applyFont="1" applyAlignment="1"/>
    <xf numFmtId="0" fontId="11" fillId="0" borderId="0" xfId="0" applyFont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34" xfId="0" applyBorder="1"/>
    <xf numFmtId="0" fontId="0" fillId="0" borderId="18" xfId="0" applyBorder="1"/>
    <xf numFmtId="0" fontId="0" fillId="0" borderId="0" xfId="0" applyBorder="1"/>
    <xf numFmtId="0" fontId="0" fillId="0" borderId="19" xfId="0" applyBorder="1"/>
    <xf numFmtId="0" fontId="0" fillId="0" borderId="21" xfId="0" applyBorder="1" applyAlignment="1">
      <alignment wrapText="1"/>
    </xf>
    <xf numFmtId="0" fontId="0" fillId="0" borderId="11" xfId="0" applyBorder="1" applyAlignment="1">
      <alignment horizontal="center"/>
    </xf>
    <xf numFmtId="0" fontId="0" fillId="0" borderId="12" xfId="0" applyBorder="1" applyAlignment="1"/>
    <xf numFmtId="0" fontId="0" fillId="0" borderId="14" xfId="0" applyBorder="1"/>
    <xf numFmtId="0" fontId="0" fillId="0" borderId="15" xfId="0" applyBorder="1"/>
    <xf numFmtId="43" fontId="11" fillId="0" borderId="10" xfId="5" applyFont="1" applyBorder="1" applyAlignment="1">
      <alignment horizontal="center"/>
    </xf>
    <xf numFmtId="10" fontId="11" fillId="0" borderId="10" xfId="2" applyNumberFormat="1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165" fontId="11" fillId="0" borderId="10" xfId="6" applyNumberFormat="1" applyFont="1" applyBorder="1" applyAlignment="1">
      <alignment horizontal="center"/>
    </xf>
    <xf numFmtId="165" fontId="0" fillId="0" borderId="30" xfId="5" applyNumberFormat="1" applyFont="1" applyBorder="1"/>
    <xf numFmtId="43" fontId="0" fillId="0" borderId="36" xfId="0" applyNumberFormat="1" applyBorder="1"/>
    <xf numFmtId="10" fontId="11" fillId="0" borderId="35" xfId="0" applyNumberFormat="1" applyFont="1" applyBorder="1" applyProtection="1">
      <protection locked="0"/>
    </xf>
    <xf numFmtId="165" fontId="0" fillId="0" borderId="35" xfId="0" applyNumberFormat="1" applyBorder="1"/>
    <xf numFmtId="165" fontId="0" fillId="0" borderId="26" xfId="5" applyNumberFormat="1" applyFont="1" applyBorder="1"/>
    <xf numFmtId="10" fontId="11" fillId="0" borderId="24" xfId="2" applyNumberFormat="1" applyFont="1" applyBorder="1" applyProtection="1">
      <protection locked="0"/>
    </xf>
    <xf numFmtId="43" fontId="0" fillId="0" borderId="26" xfId="0" applyNumberFormat="1" applyBorder="1"/>
    <xf numFmtId="10" fontId="11" fillId="0" borderId="24" xfId="6" applyNumberFormat="1" applyFont="1" applyBorder="1" applyProtection="1">
      <protection locked="0"/>
    </xf>
    <xf numFmtId="43" fontId="0" fillId="0" borderId="25" xfId="0" applyNumberFormat="1" applyBorder="1"/>
    <xf numFmtId="10" fontId="11" fillId="0" borderId="24" xfId="0" applyNumberFormat="1" applyFont="1" applyBorder="1" applyProtection="1">
      <protection locked="0"/>
    </xf>
    <xf numFmtId="165" fontId="0" fillId="0" borderId="24" xfId="0" applyNumberFormat="1" applyBorder="1"/>
    <xf numFmtId="165" fontId="0" fillId="0" borderId="28" xfId="5" applyNumberFormat="1" applyFont="1" applyFill="1" applyBorder="1"/>
    <xf numFmtId="10" fontId="11" fillId="0" borderId="37" xfId="2" applyNumberFormat="1" applyFont="1" applyFill="1" applyBorder="1" applyProtection="1">
      <protection locked="0"/>
    </xf>
    <xf numFmtId="43" fontId="0" fillId="0" borderId="38" xfId="0" applyNumberFormat="1" applyFill="1" applyBorder="1"/>
    <xf numFmtId="10" fontId="11" fillId="0" borderId="37" xfId="6" applyNumberFormat="1" applyFont="1" applyFill="1" applyBorder="1" applyProtection="1">
      <protection locked="0"/>
    </xf>
    <xf numFmtId="43" fontId="0" fillId="0" borderId="39" xfId="0" applyNumberFormat="1" applyFill="1" applyBorder="1"/>
    <xf numFmtId="10" fontId="11" fillId="0" borderId="37" xfId="0" applyNumberFormat="1" applyFont="1" applyFill="1" applyBorder="1" applyProtection="1">
      <protection locked="0"/>
    </xf>
    <xf numFmtId="165" fontId="0" fillId="0" borderId="37" xfId="0" applyNumberFormat="1" applyFill="1" applyBorder="1"/>
    <xf numFmtId="0" fontId="0" fillId="1" borderId="14" xfId="0" applyFill="1" applyBorder="1" applyAlignment="1">
      <alignment wrapText="1"/>
    </xf>
    <xf numFmtId="43" fontId="14" fillId="1" borderId="11" xfId="5" applyFont="1" applyFill="1" applyBorder="1" applyAlignment="1">
      <alignment wrapText="1"/>
    </xf>
    <xf numFmtId="43" fontId="14" fillId="1" borderId="12" xfId="5" applyFont="1" applyFill="1" applyBorder="1" applyAlignment="1">
      <alignment wrapText="1"/>
    </xf>
    <xf numFmtId="165" fontId="14" fillId="1" borderId="33" xfId="5" applyNumberFormat="1" applyFont="1" applyFill="1" applyBorder="1"/>
    <xf numFmtId="10" fontId="14" fillId="1" borderId="31" xfId="2" applyNumberFormat="1" applyFont="1" applyFill="1" applyBorder="1"/>
    <xf numFmtId="43" fontId="14" fillId="1" borderId="33" xfId="0" applyNumberFormat="1" applyFont="1" applyFill="1" applyBorder="1"/>
    <xf numFmtId="10" fontId="14" fillId="1" borderId="31" xfId="6" applyNumberFormat="1" applyFont="1" applyFill="1" applyBorder="1"/>
    <xf numFmtId="43" fontId="14" fillId="1" borderId="32" xfId="0" applyNumberFormat="1" applyFont="1" applyFill="1" applyBorder="1"/>
    <xf numFmtId="165" fontId="14" fillId="1" borderId="31" xfId="6" applyNumberFormat="1" applyFont="1" applyFill="1" applyBorder="1"/>
    <xf numFmtId="0" fontId="0" fillId="0" borderId="0" xfId="0" applyFill="1"/>
    <xf numFmtId="0" fontId="0" fillId="1" borderId="20" xfId="0" applyFill="1" applyBorder="1" applyAlignment="1">
      <alignment wrapText="1"/>
    </xf>
    <xf numFmtId="165" fontId="14" fillId="1" borderId="28" xfId="5" applyNumberFormat="1" applyFont="1" applyFill="1" applyBorder="1"/>
    <xf numFmtId="0" fontId="14" fillId="1" borderId="11" xfId="0" applyFont="1" applyFill="1" applyBorder="1"/>
    <xf numFmtId="0" fontId="14" fillId="1" borderId="13" xfId="0" applyFont="1" applyFill="1" applyBorder="1"/>
    <xf numFmtId="0" fontId="14" fillId="0" borderId="20" xfId="0" applyFont="1" applyBorder="1" applyAlignment="1">
      <alignment wrapText="1"/>
    </xf>
    <xf numFmtId="43" fontId="14" fillId="0" borderId="40" xfId="5" applyFont="1" applyBorder="1" applyAlignment="1">
      <alignment wrapText="1"/>
    </xf>
    <xf numFmtId="43" fontId="14" fillId="0" borderId="41" xfId="5" applyFont="1" applyBorder="1"/>
    <xf numFmtId="165" fontId="14" fillId="0" borderId="42" xfId="5" applyNumberFormat="1" applyFont="1" applyBorder="1"/>
    <xf numFmtId="165" fontId="14" fillId="0" borderId="21" xfId="0" applyNumberFormat="1" applyFont="1" applyBorder="1"/>
    <xf numFmtId="0" fontId="14" fillId="0" borderId="22" xfId="0" applyFont="1" applyBorder="1"/>
    <xf numFmtId="0" fontId="14" fillId="0" borderId="23" xfId="0" applyFont="1" applyBorder="1"/>
    <xf numFmtId="0" fontId="14" fillId="0" borderId="21" xfId="0" applyFont="1" applyBorder="1"/>
    <xf numFmtId="0" fontId="14" fillId="0" borderId="0" xfId="0" applyFont="1"/>
    <xf numFmtId="0" fontId="0" fillId="0" borderId="18" xfId="0" applyBorder="1" applyAlignment="1">
      <alignment wrapText="1"/>
    </xf>
    <xf numFmtId="0" fontId="0" fillId="0" borderId="16" xfId="0" applyBorder="1" applyAlignment="1">
      <alignment wrapText="1"/>
    </xf>
    <xf numFmtId="43" fontId="0" fillId="0" borderId="17" xfId="5" applyFont="1" applyBorder="1"/>
    <xf numFmtId="0" fontId="0" fillId="0" borderId="43" xfId="0" applyBorder="1"/>
    <xf numFmtId="0" fontId="0" fillId="0" borderId="44" xfId="0" applyBorder="1"/>
    <xf numFmtId="0" fontId="11" fillId="0" borderId="10" xfId="0" applyFont="1" applyBorder="1" applyAlignment="1">
      <alignment horizontal="right" wrapText="1"/>
    </xf>
    <xf numFmtId="166" fontId="0" fillId="0" borderId="10" xfId="5" applyNumberFormat="1" applyFont="1" applyBorder="1" applyAlignment="1">
      <alignment horizontal="center"/>
    </xf>
    <xf numFmtId="43" fontId="11" fillId="0" borderId="10" xfId="5" applyFont="1" applyBorder="1"/>
    <xf numFmtId="0" fontId="0" fillId="0" borderId="45" xfId="0" applyBorder="1"/>
    <xf numFmtId="14" fontId="0" fillId="0" borderId="45" xfId="0" applyNumberFormat="1" applyBorder="1"/>
    <xf numFmtId="43" fontId="0" fillId="0" borderId="45" xfId="0" applyNumberFormat="1" applyBorder="1"/>
    <xf numFmtId="0" fontId="0" fillId="0" borderId="46" xfId="0" applyBorder="1"/>
    <xf numFmtId="0" fontId="14" fillId="0" borderId="18" xfId="0" applyFont="1" applyBorder="1" applyAlignment="1">
      <alignment wrapText="1"/>
    </xf>
    <xf numFmtId="0" fontId="11" fillId="0" borderId="10" xfId="0" applyFont="1" applyBorder="1" applyAlignment="1">
      <alignment horizontal="right"/>
    </xf>
    <xf numFmtId="43" fontId="0" fillId="0" borderId="10" xfId="5" applyFont="1" applyBorder="1" applyAlignment="1">
      <alignment horizontal="center" vertical="center"/>
    </xf>
    <xf numFmtId="43" fontId="0" fillId="0" borderId="10" xfId="5" applyFont="1" applyBorder="1"/>
    <xf numFmtId="0" fontId="11" fillId="0" borderId="45" xfId="0" applyFont="1" applyBorder="1"/>
    <xf numFmtId="43" fontId="0" fillId="0" borderId="22" xfId="5" applyFont="1" applyBorder="1"/>
    <xf numFmtId="0" fontId="0" fillId="0" borderId="47" xfId="0" applyBorder="1"/>
    <xf numFmtId="0" fontId="11" fillId="0" borderId="47" xfId="0" applyFont="1" applyBorder="1"/>
    <xf numFmtId="43" fontId="0" fillId="0" borderId="47" xfId="0" applyNumberFormat="1" applyBorder="1"/>
    <xf numFmtId="0" fontId="0" fillId="0" borderId="48" xfId="0" applyBorder="1"/>
    <xf numFmtId="0" fontId="0" fillId="0" borderId="0" xfId="0" applyBorder="1" applyAlignment="1">
      <alignment wrapText="1"/>
    </xf>
    <xf numFmtId="43" fontId="0" fillId="0" borderId="0" xfId="5" applyFont="1" applyBorder="1"/>
    <xf numFmtId="43" fontId="0" fillId="0" borderId="0" xfId="0" applyNumberFormat="1"/>
    <xf numFmtId="164" fontId="0" fillId="0" borderId="0" xfId="1" applyNumberFormat="1" applyFont="1"/>
    <xf numFmtId="43" fontId="0" fillId="0" borderId="0" xfId="0" applyNumberFormat="1" applyBorder="1" applyAlignment="1">
      <alignment wrapText="1"/>
    </xf>
    <xf numFmtId="4" fontId="0" fillId="0" borderId="0" xfId="0" applyNumberFormat="1"/>
    <xf numFmtId="43" fontId="15" fillId="0" borderId="0" xfId="0" applyNumberFormat="1" applyFont="1"/>
    <xf numFmtId="0" fontId="14" fillId="0" borderId="0" xfId="0" applyFont="1" applyBorder="1" applyAlignment="1">
      <alignment wrapText="1"/>
    </xf>
    <xf numFmtId="43" fontId="11" fillId="0" borderId="0" xfId="0" applyNumberFormat="1" applyFont="1" applyAlignment="1"/>
    <xf numFmtId="0" fontId="0" fillId="0" borderId="0" xfId="0" applyAlignment="1">
      <alignment horizontal="center"/>
    </xf>
    <xf numFmtId="164" fontId="11" fillId="0" borderId="0" xfId="0" applyNumberFormat="1" applyFont="1" applyAlignment="1"/>
    <xf numFmtId="43" fontId="11" fillId="0" borderId="0" xfId="1" applyFont="1" applyAlignment="1"/>
    <xf numFmtId="0" fontId="0" fillId="0" borderId="0" xfId="0" applyAlignment="1">
      <alignment horizontal="center"/>
    </xf>
    <xf numFmtId="43" fontId="0" fillId="0" borderId="0" xfId="1" applyFont="1"/>
    <xf numFmtId="0" fontId="16" fillId="0" borderId="0" xfId="0" applyFont="1"/>
    <xf numFmtId="43" fontId="16" fillId="0" borderId="0" xfId="1" applyFont="1"/>
    <xf numFmtId="0" fontId="5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 indent="1"/>
    </xf>
    <xf numFmtId="0" fontId="6" fillId="0" borderId="0" xfId="0" applyFont="1" applyBorder="1" applyAlignment="1">
      <alignment horizontal="left" wrapText="1" indent="1"/>
    </xf>
    <xf numFmtId="0" fontId="8" fillId="0" borderId="0" xfId="0" applyFont="1" applyBorder="1" applyAlignment="1">
      <alignment horizontal="right" wrapText="1" indent="1"/>
    </xf>
    <xf numFmtId="0" fontId="0" fillId="0" borderId="0" xfId="0" applyFill="1" applyBorder="1"/>
    <xf numFmtId="0" fontId="11" fillId="0" borderId="0" xfId="0" applyFont="1" applyBorder="1" applyAlignment="1"/>
    <xf numFmtId="0" fontId="12" fillId="0" borderId="17" xfId="3" applyFont="1" applyFill="1" applyBorder="1" applyAlignment="1"/>
    <xf numFmtId="0" fontId="12" fillId="0" borderId="34" xfId="3" applyFont="1" applyFill="1" applyBorder="1" applyAlignment="1"/>
    <xf numFmtId="0" fontId="11" fillId="0" borderId="0" xfId="0" applyFont="1" applyFill="1" applyBorder="1" applyAlignment="1"/>
    <xf numFmtId="0" fontId="11" fillId="0" borderId="0" xfId="0" applyFont="1" applyAlignment="1">
      <alignment horizontal="center"/>
    </xf>
    <xf numFmtId="0" fontId="11" fillId="0" borderId="18" xfId="3" applyFont="1" applyFill="1" applyBorder="1" applyAlignment="1"/>
    <xf numFmtId="0" fontId="11" fillId="0" borderId="18" xfId="0" applyFont="1" applyFill="1" applyBorder="1" applyAlignment="1"/>
    <xf numFmtId="0" fontId="11" fillId="0" borderId="0" xfId="0" applyFont="1" applyBorder="1" applyAlignment="1">
      <alignment horizontal="left" wrapText="1" indent="1"/>
    </xf>
    <xf numFmtId="0" fontId="11" fillId="0" borderId="0" xfId="0" applyFont="1" applyBorder="1" applyAlignment="1">
      <alignment horizontal="right" wrapText="1" indent="1"/>
    </xf>
    <xf numFmtId="43" fontId="11" fillId="0" borderId="0" xfId="0" applyNumberFormat="1" applyFont="1" applyBorder="1" applyAlignment="1"/>
    <xf numFmtId="165" fontId="11" fillId="0" borderId="35" xfId="2" applyNumberFormat="1" applyFont="1" applyBorder="1" applyProtection="1">
      <protection locked="0"/>
    </xf>
    <xf numFmtId="165" fontId="11" fillId="0" borderId="35" xfId="6" applyNumberFormat="1" applyFont="1" applyBorder="1" applyProtection="1">
      <protection locked="0"/>
    </xf>
    <xf numFmtId="165" fontId="11" fillId="0" borderId="24" xfId="6" applyNumberFormat="1" applyFont="1" applyBorder="1" applyProtection="1">
      <protection locked="0"/>
    </xf>
    <xf numFmtId="0" fontId="0" fillId="0" borderId="29" xfId="0" applyBorder="1"/>
    <xf numFmtId="43" fontId="0" fillId="0" borderId="49" xfId="5" applyFont="1" applyBorder="1"/>
    <xf numFmtId="0" fontId="0" fillId="0" borderId="24" xfId="0" applyBorder="1"/>
    <xf numFmtId="43" fontId="0" fillId="0" borderId="50" xfId="5" applyFont="1" applyBorder="1"/>
    <xf numFmtId="43" fontId="0" fillId="0" borderId="50" xfId="5" applyFont="1" applyBorder="1" applyAlignment="1">
      <alignment wrapText="1"/>
    </xf>
    <xf numFmtId="0" fontId="0" fillId="0" borderId="27" xfId="0" applyFill="1" applyBorder="1"/>
    <xf numFmtId="43" fontId="0" fillId="0" borderId="51" xfId="5" applyFont="1" applyFill="1" applyBorder="1" applyAlignment="1">
      <alignment wrapText="1"/>
    </xf>
    <xf numFmtId="43" fontId="0" fillId="0" borderId="51" xfId="5" applyFont="1" applyFill="1" applyBorder="1"/>
    <xf numFmtId="0" fontId="0" fillId="0" borderId="11" xfId="0" applyBorder="1" applyAlignment="1">
      <alignment wrapText="1"/>
    </xf>
    <xf numFmtId="0" fontId="11" fillId="0" borderId="50" xfId="0" applyFont="1" applyBorder="1" applyAlignment="1"/>
    <xf numFmtId="164" fontId="11" fillId="0" borderId="50" xfId="0" applyNumberFormat="1" applyFont="1" applyBorder="1" applyAlignment="1"/>
    <xf numFmtId="0" fontId="11" fillId="0" borderId="50" xfId="3" applyFont="1" applyFill="1" applyBorder="1" applyAlignment="1"/>
    <xf numFmtId="0" fontId="11" fillId="0" borderId="50" xfId="3" applyFont="1" applyFill="1" applyBorder="1" applyAlignment="1">
      <alignment horizontal="center"/>
    </xf>
    <xf numFmtId="164" fontId="11" fillId="0" borderId="50" xfId="4" applyFont="1" applyFill="1" applyBorder="1" applyAlignment="1">
      <alignment wrapText="1"/>
    </xf>
    <xf numFmtId="164" fontId="11" fillId="0" borderId="50" xfId="1" applyNumberFormat="1" applyFont="1" applyFill="1" applyBorder="1" applyAlignment="1">
      <alignment wrapText="1"/>
    </xf>
    <xf numFmtId="10" fontId="11" fillId="0" borderId="50" xfId="4" applyNumberFormat="1" applyFont="1" applyFill="1" applyBorder="1" applyAlignment="1">
      <alignment wrapText="1"/>
    </xf>
    <xf numFmtId="43" fontId="11" fillId="0" borderId="50" xfId="1" applyFont="1" applyBorder="1" applyAlignment="1"/>
    <xf numFmtId="49" fontId="11" fillId="0" borderId="50" xfId="3" applyNumberFormat="1" applyFont="1" applyFill="1" applyBorder="1" applyAlignment="1">
      <alignment horizontal="center" vertical="center"/>
    </xf>
    <xf numFmtId="164" fontId="11" fillId="0" borderId="50" xfId="1" applyNumberFormat="1" applyFont="1" applyFill="1" applyBorder="1" applyAlignment="1">
      <alignment horizontal="center" vertical="center"/>
    </xf>
    <xf numFmtId="164" fontId="11" fillId="0" borderId="50" xfId="1" applyNumberFormat="1" applyFont="1" applyFill="1" applyBorder="1" applyAlignment="1">
      <alignment horizontal="center" vertical="center" wrapText="1"/>
    </xf>
    <xf numFmtId="0" fontId="11" fillId="0" borderId="50" xfId="0" applyFont="1" applyBorder="1" applyAlignment="1">
      <alignment horizontal="center"/>
    </xf>
    <xf numFmtId="0" fontId="11" fillId="0" borderId="50" xfId="0" applyFont="1" applyBorder="1" applyAlignment="1">
      <alignment horizontal="center" wrapText="1"/>
    </xf>
    <xf numFmtId="0" fontId="11" fillId="0" borderId="50" xfId="0" applyFont="1" applyFill="1" applyBorder="1" applyAlignment="1"/>
    <xf numFmtId="164" fontId="11" fillId="0" borderId="50" xfId="1" applyNumberFormat="1" applyFont="1" applyFill="1" applyBorder="1" applyAlignment="1"/>
    <xf numFmtId="164" fontId="11" fillId="0" borderId="50" xfId="1" applyNumberFormat="1" applyFont="1" applyBorder="1" applyAlignment="1"/>
    <xf numFmtId="164" fontId="11" fillId="0" borderId="50" xfId="0" applyNumberFormat="1" applyFont="1" applyFill="1" applyBorder="1" applyAlignment="1"/>
    <xf numFmtId="0" fontId="11" fillId="0" borderId="50" xfId="0" applyFont="1" applyFill="1" applyBorder="1" applyAlignment="1">
      <alignment wrapText="1"/>
    </xf>
    <xf numFmtId="0" fontId="11" fillId="0" borderId="50" xfId="0" applyFont="1" applyBorder="1" applyAlignment="1">
      <alignment horizontal="left" wrapText="1"/>
    </xf>
    <xf numFmtId="0" fontId="11" fillId="0" borderId="50" xfId="0" applyFont="1" applyBorder="1" applyAlignment="1">
      <alignment horizontal="left"/>
    </xf>
    <xf numFmtId="0" fontId="11" fillId="0" borderId="50" xfId="0" applyFont="1" applyBorder="1" applyAlignment="1">
      <alignment wrapText="1"/>
    </xf>
    <xf numFmtId="164" fontId="11" fillId="0" borderId="50" xfId="1" applyNumberFormat="1" applyFont="1" applyBorder="1" applyAlignment="1">
      <alignment wrapText="1"/>
    </xf>
    <xf numFmtId="0" fontId="11" fillId="0" borderId="50" xfId="0" applyFont="1" applyBorder="1"/>
    <xf numFmtId="43" fontId="11" fillId="0" borderId="50" xfId="1" applyFont="1" applyBorder="1"/>
    <xf numFmtId="0" fontId="11" fillId="0" borderId="50" xfId="0" applyFont="1" applyBorder="1" applyAlignment="1">
      <alignment horizontal="left" wrapText="1" indent="1"/>
    </xf>
    <xf numFmtId="0" fontId="11" fillId="0" borderId="50" xfId="0" applyFont="1" applyBorder="1" applyAlignment="1">
      <alignment horizontal="right" wrapText="1" indent="1"/>
    </xf>
    <xf numFmtId="0" fontId="11" fillId="0" borderId="50" xfId="0" applyFont="1" applyFill="1" applyBorder="1"/>
    <xf numFmtId="0" fontId="11" fillId="0" borderId="50" xfId="3" applyFont="1" applyFill="1" applyBorder="1" applyAlignment="1">
      <alignment horizontal="center" wrapText="1"/>
    </xf>
    <xf numFmtId="0" fontId="11" fillId="0" borderId="50" xfId="3" applyFont="1" applyFill="1" applyBorder="1" applyAlignment="1"/>
    <xf numFmtId="0" fontId="11" fillId="0" borderId="50" xfId="3" applyFont="1" applyFill="1" applyBorder="1" applyAlignment="1">
      <alignment horizontal="left"/>
    </xf>
    <xf numFmtId="0" fontId="11" fillId="0" borderId="10" xfId="0" applyFont="1" applyBorder="1" applyAlignment="1">
      <alignment horizontal="center" vertical="center" wrapText="1"/>
    </xf>
    <xf numFmtId="43" fontId="11" fillId="0" borderId="10" xfId="5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14" fillId="0" borderId="17" xfId="3" applyFont="1" applyFill="1" applyBorder="1" applyAlignment="1">
      <alignment horizontal="left"/>
    </xf>
    <xf numFmtId="0" fontId="14" fillId="0" borderId="22" xfId="3" applyFont="1" applyFill="1" applyBorder="1" applyAlignment="1">
      <alignment horizontal="left"/>
    </xf>
    <xf numFmtId="0" fontId="0" fillId="0" borderId="45" xfId="0" applyBorder="1" applyAlignment="1">
      <alignment horizontal="center"/>
    </xf>
    <xf numFmtId="43" fontId="0" fillId="0" borderId="47" xfId="0" applyNumberFormat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0" fillId="0" borderId="0" xfId="0" applyAlignment="1">
      <alignment horizontal="center" textRotation="90"/>
    </xf>
    <xf numFmtId="0" fontId="9" fillId="0" borderId="0" xfId="0" applyFont="1" applyBorder="1" applyAlignment="1">
      <alignment horizontal="center" vertical="center" wrapText="1"/>
    </xf>
  </cellXfs>
  <cellStyles count="7">
    <cellStyle name="Normal" xfId="0" builtinId="0"/>
    <cellStyle name="Normal 2" xfId="3"/>
    <cellStyle name="Porcentagem" xfId="2" builtinId="5"/>
    <cellStyle name="Porcentagem 3" xfId="6"/>
    <cellStyle name="Separador de milhares" xfId="1" builtinId="3"/>
    <cellStyle name="Separador de milhares 2" xfId="5"/>
    <cellStyle name="Vírgula 4" xfId="4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7</xdr:row>
      <xdr:rowOff>0</xdr:rowOff>
    </xdr:from>
    <xdr:to>
      <xdr:col>5</xdr:col>
      <xdr:colOff>733425</xdr:colOff>
      <xdr:row>10</xdr:row>
      <xdr:rowOff>13759</xdr:rowOff>
    </xdr:to>
    <xdr:pic>
      <xdr:nvPicPr>
        <xdr:cNvPr id="2" name="Picture 1" descr="http://static.deca.com.br/sites/default/files/produto/pti/THUMB_2305.C_V1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95700" y="31603950"/>
          <a:ext cx="229552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349248</xdr:colOff>
      <xdr:row>188</xdr:row>
      <xdr:rowOff>105833</xdr:rowOff>
    </xdr:from>
    <xdr:to>
      <xdr:col>5</xdr:col>
      <xdr:colOff>1082203</xdr:colOff>
      <xdr:row>193</xdr:row>
      <xdr:rowOff>42334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3165" y="36703000"/>
          <a:ext cx="732955" cy="73025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84667</xdr:colOff>
      <xdr:row>3</xdr:row>
      <xdr:rowOff>23284</xdr:rowOff>
    </xdr:from>
    <xdr:to>
      <xdr:col>1</xdr:col>
      <xdr:colOff>1735666</xdr:colOff>
      <xdr:row>4</xdr:row>
      <xdr:rowOff>167550</xdr:rowOff>
    </xdr:to>
    <xdr:pic>
      <xdr:nvPicPr>
        <xdr:cNvPr id="2053" name="Picture 5" descr="Universidade Estadual do Norte do ParanÃ¡ | UEN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3334" y="457201"/>
          <a:ext cx="1650999" cy="461766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304800</xdr:colOff>
      <xdr:row>2</xdr:row>
      <xdr:rowOff>114300</xdr:rowOff>
    </xdr:to>
    <xdr:sp macro="" textlink="">
      <xdr:nvSpPr>
        <xdr:cNvPr id="1025" name="AutoShape 1" descr="C:\000_Projetos_CAD\000_LINCOLN_CAD\0_CAD_UENP\4 _CAMPUS _JACAREZINHO\2018_REITORIA REFORMAS\REITORIA_CASA DER\PROEC_EDITORA AGO 2018\Relat%C3%B3rios\logo.gif"/>
        <xdr:cNvSpPr>
          <a:spLocks noChangeAspect="1" noChangeArrowheads="1"/>
        </xdr:cNvSpPr>
      </xdr:nvSpPr>
      <xdr:spPr bwMode="auto">
        <a:xfrm>
          <a:off x="609600" y="190500"/>
          <a:ext cx="304800" cy="304800"/>
        </a:xfrm>
        <a:prstGeom prst="rect">
          <a:avLst/>
        </a:prstGeom>
        <a:noFill/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7"/>
  <sheetViews>
    <sheetView tabSelected="1" topLeftCell="D1" zoomScaleNormal="100" workbookViewId="0">
      <selection activeCell="B2" sqref="B2:K2"/>
    </sheetView>
  </sheetViews>
  <sheetFormatPr defaultRowHeight="12.75"/>
  <cols>
    <col min="1" max="1" width="4.42578125" style="12" customWidth="1"/>
    <col min="2" max="2" width="7.5703125" style="12" customWidth="1"/>
    <col min="3" max="3" width="11.7109375" style="118" customWidth="1"/>
    <col min="4" max="4" width="12" style="12" customWidth="1"/>
    <col min="5" max="5" width="8.7109375" style="12" customWidth="1"/>
    <col min="6" max="6" width="74.140625" style="14" customWidth="1"/>
    <col min="7" max="7" width="10" style="12" customWidth="1"/>
    <col min="8" max="8" width="7.7109375" style="13" customWidth="1"/>
    <col min="9" max="9" width="9.28515625" style="13" customWidth="1"/>
    <col min="10" max="10" width="13.5703125" style="13" customWidth="1"/>
    <col min="11" max="11" width="12.140625" style="13" customWidth="1"/>
    <col min="12" max="12" width="14.42578125" style="12" customWidth="1"/>
    <col min="13" max="13" width="12.140625" style="12" bestFit="1" customWidth="1"/>
    <col min="14" max="14" width="12.5703125" style="12" customWidth="1"/>
    <col min="15" max="15" width="11.140625" style="12" bestFit="1" customWidth="1"/>
    <col min="16" max="256" width="9.140625" style="12"/>
    <col min="257" max="257" width="4.42578125" style="12" customWidth="1"/>
    <col min="258" max="258" width="7.5703125" style="12" customWidth="1"/>
    <col min="259" max="259" width="11.7109375" style="12" customWidth="1"/>
    <col min="260" max="260" width="12" style="12" customWidth="1"/>
    <col min="261" max="261" width="8.7109375" style="12" customWidth="1"/>
    <col min="262" max="262" width="70" style="12" customWidth="1"/>
    <col min="263" max="263" width="6.7109375" style="12" customWidth="1"/>
    <col min="264" max="264" width="11.85546875" style="12" customWidth="1"/>
    <col min="265" max="266" width="13.5703125" style="12" customWidth="1"/>
    <col min="267" max="267" width="12.140625" style="12" customWidth="1"/>
    <col min="268" max="268" width="14.42578125" style="12" customWidth="1"/>
    <col min="269" max="269" width="10" style="12" bestFit="1" customWidth="1"/>
    <col min="270" max="512" width="9.140625" style="12"/>
    <col min="513" max="513" width="4.42578125" style="12" customWidth="1"/>
    <col min="514" max="514" width="7.5703125" style="12" customWidth="1"/>
    <col min="515" max="515" width="11.7109375" style="12" customWidth="1"/>
    <col min="516" max="516" width="12" style="12" customWidth="1"/>
    <col min="517" max="517" width="8.7109375" style="12" customWidth="1"/>
    <col min="518" max="518" width="70" style="12" customWidth="1"/>
    <col min="519" max="519" width="6.7109375" style="12" customWidth="1"/>
    <col min="520" max="520" width="11.85546875" style="12" customWidth="1"/>
    <col min="521" max="522" width="13.5703125" style="12" customWidth="1"/>
    <col min="523" max="523" width="12.140625" style="12" customWidth="1"/>
    <col min="524" max="524" width="14.42578125" style="12" customWidth="1"/>
    <col min="525" max="525" width="10" style="12" bestFit="1" customWidth="1"/>
    <col min="526" max="768" width="9.140625" style="12"/>
    <col min="769" max="769" width="4.42578125" style="12" customWidth="1"/>
    <col min="770" max="770" width="7.5703125" style="12" customWidth="1"/>
    <col min="771" max="771" width="11.7109375" style="12" customWidth="1"/>
    <col min="772" max="772" width="12" style="12" customWidth="1"/>
    <col min="773" max="773" width="8.7109375" style="12" customWidth="1"/>
    <col min="774" max="774" width="70" style="12" customWidth="1"/>
    <col min="775" max="775" width="6.7109375" style="12" customWidth="1"/>
    <col min="776" max="776" width="11.85546875" style="12" customWidth="1"/>
    <col min="777" max="778" width="13.5703125" style="12" customWidth="1"/>
    <col min="779" max="779" width="12.140625" style="12" customWidth="1"/>
    <col min="780" max="780" width="14.42578125" style="12" customWidth="1"/>
    <col min="781" max="781" width="10" style="12" bestFit="1" customWidth="1"/>
    <col min="782" max="1024" width="9.140625" style="12"/>
    <col min="1025" max="1025" width="4.42578125" style="12" customWidth="1"/>
    <col min="1026" max="1026" width="7.5703125" style="12" customWidth="1"/>
    <col min="1027" max="1027" width="11.7109375" style="12" customWidth="1"/>
    <col min="1028" max="1028" width="12" style="12" customWidth="1"/>
    <col min="1029" max="1029" width="8.7109375" style="12" customWidth="1"/>
    <col min="1030" max="1030" width="70" style="12" customWidth="1"/>
    <col min="1031" max="1031" width="6.7109375" style="12" customWidth="1"/>
    <col min="1032" max="1032" width="11.85546875" style="12" customWidth="1"/>
    <col min="1033" max="1034" width="13.5703125" style="12" customWidth="1"/>
    <col min="1035" max="1035" width="12.140625" style="12" customWidth="1"/>
    <col min="1036" max="1036" width="14.42578125" style="12" customWidth="1"/>
    <col min="1037" max="1037" width="10" style="12" bestFit="1" customWidth="1"/>
    <col min="1038" max="1280" width="9.140625" style="12"/>
    <col min="1281" max="1281" width="4.42578125" style="12" customWidth="1"/>
    <col min="1282" max="1282" width="7.5703125" style="12" customWidth="1"/>
    <col min="1283" max="1283" width="11.7109375" style="12" customWidth="1"/>
    <col min="1284" max="1284" width="12" style="12" customWidth="1"/>
    <col min="1285" max="1285" width="8.7109375" style="12" customWidth="1"/>
    <col min="1286" max="1286" width="70" style="12" customWidth="1"/>
    <col min="1287" max="1287" width="6.7109375" style="12" customWidth="1"/>
    <col min="1288" max="1288" width="11.85546875" style="12" customWidth="1"/>
    <col min="1289" max="1290" width="13.5703125" style="12" customWidth="1"/>
    <col min="1291" max="1291" width="12.140625" style="12" customWidth="1"/>
    <col min="1292" max="1292" width="14.42578125" style="12" customWidth="1"/>
    <col min="1293" max="1293" width="10" style="12" bestFit="1" customWidth="1"/>
    <col min="1294" max="1536" width="9.140625" style="12"/>
    <col min="1537" max="1537" width="4.42578125" style="12" customWidth="1"/>
    <col min="1538" max="1538" width="7.5703125" style="12" customWidth="1"/>
    <col min="1539" max="1539" width="11.7109375" style="12" customWidth="1"/>
    <col min="1540" max="1540" width="12" style="12" customWidth="1"/>
    <col min="1541" max="1541" width="8.7109375" style="12" customWidth="1"/>
    <col min="1542" max="1542" width="70" style="12" customWidth="1"/>
    <col min="1543" max="1543" width="6.7109375" style="12" customWidth="1"/>
    <col min="1544" max="1544" width="11.85546875" style="12" customWidth="1"/>
    <col min="1545" max="1546" width="13.5703125" style="12" customWidth="1"/>
    <col min="1547" max="1547" width="12.140625" style="12" customWidth="1"/>
    <col min="1548" max="1548" width="14.42578125" style="12" customWidth="1"/>
    <col min="1549" max="1549" width="10" style="12" bestFit="1" customWidth="1"/>
    <col min="1550" max="1792" width="9.140625" style="12"/>
    <col min="1793" max="1793" width="4.42578125" style="12" customWidth="1"/>
    <col min="1794" max="1794" width="7.5703125" style="12" customWidth="1"/>
    <col min="1795" max="1795" width="11.7109375" style="12" customWidth="1"/>
    <col min="1796" max="1796" width="12" style="12" customWidth="1"/>
    <col min="1797" max="1797" width="8.7109375" style="12" customWidth="1"/>
    <col min="1798" max="1798" width="70" style="12" customWidth="1"/>
    <col min="1799" max="1799" width="6.7109375" style="12" customWidth="1"/>
    <col min="1800" max="1800" width="11.85546875" style="12" customWidth="1"/>
    <col min="1801" max="1802" width="13.5703125" style="12" customWidth="1"/>
    <col min="1803" max="1803" width="12.140625" style="12" customWidth="1"/>
    <col min="1804" max="1804" width="14.42578125" style="12" customWidth="1"/>
    <col min="1805" max="1805" width="10" style="12" bestFit="1" customWidth="1"/>
    <col min="1806" max="2048" width="9.140625" style="12"/>
    <col min="2049" max="2049" width="4.42578125" style="12" customWidth="1"/>
    <col min="2050" max="2050" width="7.5703125" style="12" customWidth="1"/>
    <col min="2051" max="2051" width="11.7109375" style="12" customWidth="1"/>
    <col min="2052" max="2052" width="12" style="12" customWidth="1"/>
    <col min="2053" max="2053" width="8.7109375" style="12" customWidth="1"/>
    <col min="2054" max="2054" width="70" style="12" customWidth="1"/>
    <col min="2055" max="2055" width="6.7109375" style="12" customWidth="1"/>
    <col min="2056" max="2056" width="11.85546875" style="12" customWidth="1"/>
    <col min="2057" max="2058" width="13.5703125" style="12" customWidth="1"/>
    <col min="2059" max="2059" width="12.140625" style="12" customWidth="1"/>
    <col min="2060" max="2060" width="14.42578125" style="12" customWidth="1"/>
    <col min="2061" max="2061" width="10" style="12" bestFit="1" customWidth="1"/>
    <col min="2062" max="2304" width="9.140625" style="12"/>
    <col min="2305" max="2305" width="4.42578125" style="12" customWidth="1"/>
    <col min="2306" max="2306" width="7.5703125" style="12" customWidth="1"/>
    <col min="2307" max="2307" width="11.7109375" style="12" customWidth="1"/>
    <col min="2308" max="2308" width="12" style="12" customWidth="1"/>
    <col min="2309" max="2309" width="8.7109375" style="12" customWidth="1"/>
    <col min="2310" max="2310" width="70" style="12" customWidth="1"/>
    <col min="2311" max="2311" width="6.7109375" style="12" customWidth="1"/>
    <col min="2312" max="2312" width="11.85546875" style="12" customWidth="1"/>
    <col min="2313" max="2314" width="13.5703125" style="12" customWidth="1"/>
    <col min="2315" max="2315" width="12.140625" style="12" customWidth="1"/>
    <col min="2316" max="2316" width="14.42578125" style="12" customWidth="1"/>
    <col min="2317" max="2317" width="10" style="12" bestFit="1" customWidth="1"/>
    <col min="2318" max="2560" width="9.140625" style="12"/>
    <col min="2561" max="2561" width="4.42578125" style="12" customWidth="1"/>
    <col min="2562" max="2562" width="7.5703125" style="12" customWidth="1"/>
    <col min="2563" max="2563" width="11.7109375" style="12" customWidth="1"/>
    <col min="2564" max="2564" width="12" style="12" customWidth="1"/>
    <col min="2565" max="2565" width="8.7109375" style="12" customWidth="1"/>
    <col min="2566" max="2566" width="70" style="12" customWidth="1"/>
    <col min="2567" max="2567" width="6.7109375" style="12" customWidth="1"/>
    <col min="2568" max="2568" width="11.85546875" style="12" customWidth="1"/>
    <col min="2569" max="2570" width="13.5703125" style="12" customWidth="1"/>
    <col min="2571" max="2571" width="12.140625" style="12" customWidth="1"/>
    <col min="2572" max="2572" width="14.42578125" style="12" customWidth="1"/>
    <col min="2573" max="2573" width="10" style="12" bestFit="1" customWidth="1"/>
    <col min="2574" max="2816" width="9.140625" style="12"/>
    <col min="2817" max="2817" width="4.42578125" style="12" customWidth="1"/>
    <col min="2818" max="2818" width="7.5703125" style="12" customWidth="1"/>
    <col min="2819" max="2819" width="11.7109375" style="12" customWidth="1"/>
    <col min="2820" max="2820" width="12" style="12" customWidth="1"/>
    <col min="2821" max="2821" width="8.7109375" style="12" customWidth="1"/>
    <col min="2822" max="2822" width="70" style="12" customWidth="1"/>
    <col min="2823" max="2823" width="6.7109375" style="12" customWidth="1"/>
    <col min="2824" max="2824" width="11.85546875" style="12" customWidth="1"/>
    <col min="2825" max="2826" width="13.5703125" style="12" customWidth="1"/>
    <col min="2827" max="2827" width="12.140625" style="12" customWidth="1"/>
    <col min="2828" max="2828" width="14.42578125" style="12" customWidth="1"/>
    <col min="2829" max="2829" width="10" style="12" bestFit="1" customWidth="1"/>
    <col min="2830" max="3072" width="9.140625" style="12"/>
    <col min="3073" max="3073" width="4.42578125" style="12" customWidth="1"/>
    <col min="3074" max="3074" width="7.5703125" style="12" customWidth="1"/>
    <col min="3075" max="3075" width="11.7109375" style="12" customWidth="1"/>
    <col min="3076" max="3076" width="12" style="12" customWidth="1"/>
    <col min="3077" max="3077" width="8.7109375" style="12" customWidth="1"/>
    <col min="3078" max="3078" width="70" style="12" customWidth="1"/>
    <col min="3079" max="3079" width="6.7109375" style="12" customWidth="1"/>
    <col min="3080" max="3080" width="11.85546875" style="12" customWidth="1"/>
    <col min="3081" max="3082" width="13.5703125" style="12" customWidth="1"/>
    <col min="3083" max="3083" width="12.140625" style="12" customWidth="1"/>
    <col min="3084" max="3084" width="14.42578125" style="12" customWidth="1"/>
    <col min="3085" max="3085" width="10" style="12" bestFit="1" customWidth="1"/>
    <col min="3086" max="3328" width="9.140625" style="12"/>
    <col min="3329" max="3329" width="4.42578125" style="12" customWidth="1"/>
    <col min="3330" max="3330" width="7.5703125" style="12" customWidth="1"/>
    <col min="3331" max="3331" width="11.7109375" style="12" customWidth="1"/>
    <col min="3332" max="3332" width="12" style="12" customWidth="1"/>
    <col min="3333" max="3333" width="8.7109375" style="12" customWidth="1"/>
    <col min="3334" max="3334" width="70" style="12" customWidth="1"/>
    <col min="3335" max="3335" width="6.7109375" style="12" customWidth="1"/>
    <col min="3336" max="3336" width="11.85546875" style="12" customWidth="1"/>
    <col min="3337" max="3338" width="13.5703125" style="12" customWidth="1"/>
    <col min="3339" max="3339" width="12.140625" style="12" customWidth="1"/>
    <col min="3340" max="3340" width="14.42578125" style="12" customWidth="1"/>
    <col min="3341" max="3341" width="10" style="12" bestFit="1" customWidth="1"/>
    <col min="3342" max="3584" width="9.140625" style="12"/>
    <col min="3585" max="3585" width="4.42578125" style="12" customWidth="1"/>
    <col min="3586" max="3586" width="7.5703125" style="12" customWidth="1"/>
    <col min="3587" max="3587" width="11.7109375" style="12" customWidth="1"/>
    <col min="3588" max="3588" width="12" style="12" customWidth="1"/>
    <col min="3589" max="3589" width="8.7109375" style="12" customWidth="1"/>
    <col min="3590" max="3590" width="70" style="12" customWidth="1"/>
    <col min="3591" max="3591" width="6.7109375" style="12" customWidth="1"/>
    <col min="3592" max="3592" width="11.85546875" style="12" customWidth="1"/>
    <col min="3593" max="3594" width="13.5703125" style="12" customWidth="1"/>
    <col min="3595" max="3595" width="12.140625" style="12" customWidth="1"/>
    <col min="3596" max="3596" width="14.42578125" style="12" customWidth="1"/>
    <col min="3597" max="3597" width="10" style="12" bestFit="1" customWidth="1"/>
    <col min="3598" max="3840" width="9.140625" style="12"/>
    <col min="3841" max="3841" width="4.42578125" style="12" customWidth="1"/>
    <col min="3842" max="3842" width="7.5703125" style="12" customWidth="1"/>
    <col min="3843" max="3843" width="11.7109375" style="12" customWidth="1"/>
    <col min="3844" max="3844" width="12" style="12" customWidth="1"/>
    <col min="3845" max="3845" width="8.7109375" style="12" customWidth="1"/>
    <col min="3846" max="3846" width="70" style="12" customWidth="1"/>
    <col min="3847" max="3847" width="6.7109375" style="12" customWidth="1"/>
    <col min="3848" max="3848" width="11.85546875" style="12" customWidth="1"/>
    <col min="3849" max="3850" width="13.5703125" style="12" customWidth="1"/>
    <col min="3851" max="3851" width="12.140625" style="12" customWidth="1"/>
    <col min="3852" max="3852" width="14.42578125" style="12" customWidth="1"/>
    <col min="3853" max="3853" width="10" style="12" bestFit="1" customWidth="1"/>
    <col min="3854" max="4096" width="9.140625" style="12"/>
    <col min="4097" max="4097" width="4.42578125" style="12" customWidth="1"/>
    <col min="4098" max="4098" width="7.5703125" style="12" customWidth="1"/>
    <col min="4099" max="4099" width="11.7109375" style="12" customWidth="1"/>
    <col min="4100" max="4100" width="12" style="12" customWidth="1"/>
    <col min="4101" max="4101" width="8.7109375" style="12" customWidth="1"/>
    <col min="4102" max="4102" width="70" style="12" customWidth="1"/>
    <col min="4103" max="4103" width="6.7109375" style="12" customWidth="1"/>
    <col min="4104" max="4104" width="11.85546875" style="12" customWidth="1"/>
    <col min="4105" max="4106" width="13.5703125" style="12" customWidth="1"/>
    <col min="4107" max="4107" width="12.140625" style="12" customWidth="1"/>
    <col min="4108" max="4108" width="14.42578125" style="12" customWidth="1"/>
    <col min="4109" max="4109" width="10" style="12" bestFit="1" customWidth="1"/>
    <col min="4110" max="4352" width="9.140625" style="12"/>
    <col min="4353" max="4353" width="4.42578125" style="12" customWidth="1"/>
    <col min="4354" max="4354" width="7.5703125" style="12" customWidth="1"/>
    <col min="4355" max="4355" width="11.7109375" style="12" customWidth="1"/>
    <col min="4356" max="4356" width="12" style="12" customWidth="1"/>
    <col min="4357" max="4357" width="8.7109375" style="12" customWidth="1"/>
    <col min="4358" max="4358" width="70" style="12" customWidth="1"/>
    <col min="4359" max="4359" width="6.7109375" style="12" customWidth="1"/>
    <col min="4360" max="4360" width="11.85546875" style="12" customWidth="1"/>
    <col min="4361" max="4362" width="13.5703125" style="12" customWidth="1"/>
    <col min="4363" max="4363" width="12.140625" style="12" customWidth="1"/>
    <col min="4364" max="4364" width="14.42578125" style="12" customWidth="1"/>
    <col min="4365" max="4365" width="10" style="12" bestFit="1" customWidth="1"/>
    <col min="4366" max="4608" width="9.140625" style="12"/>
    <col min="4609" max="4609" width="4.42578125" style="12" customWidth="1"/>
    <col min="4610" max="4610" width="7.5703125" style="12" customWidth="1"/>
    <col min="4611" max="4611" width="11.7109375" style="12" customWidth="1"/>
    <col min="4612" max="4612" width="12" style="12" customWidth="1"/>
    <col min="4613" max="4613" width="8.7109375" style="12" customWidth="1"/>
    <col min="4614" max="4614" width="70" style="12" customWidth="1"/>
    <col min="4615" max="4615" width="6.7109375" style="12" customWidth="1"/>
    <col min="4616" max="4616" width="11.85546875" style="12" customWidth="1"/>
    <col min="4617" max="4618" width="13.5703125" style="12" customWidth="1"/>
    <col min="4619" max="4619" width="12.140625" style="12" customWidth="1"/>
    <col min="4620" max="4620" width="14.42578125" style="12" customWidth="1"/>
    <col min="4621" max="4621" width="10" style="12" bestFit="1" customWidth="1"/>
    <col min="4622" max="4864" width="9.140625" style="12"/>
    <col min="4865" max="4865" width="4.42578125" style="12" customWidth="1"/>
    <col min="4866" max="4866" width="7.5703125" style="12" customWidth="1"/>
    <col min="4867" max="4867" width="11.7109375" style="12" customWidth="1"/>
    <col min="4868" max="4868" width="12" style="12" customWidth="1"/>
    <col min="4869" max="4869" width="8.7109375" style="12" customWidth="1"/>
    <col min="4870" max="4870" width="70" style="12" customWidth="1"/>
    <col min="4871" max="4871" width="6.7109375" style="12" customWidth="1"/>
    <col min="4872" max="4872" width="11.85546875" style="12" customWidth="1"/>
    <col min="4873" max="4874" width="13.5703125" style="12" customWidth="1"/>
    <col min="4875" max="4875" width="12.140625" style="12" customWidth="1"/>
    <col min="4876" max="4876" width="14.42578125" style="12" customWidth="1"/>
    <col min="4877" max="4877" width="10" style="12" bestFit="1" customWidth="1"/>
    <col min="4878" max="5120" width="9.140625" style="12"/>
    <col min="5121" max="5121" width="4.42578125" style="12" customWidth="1"/>
    <col min="5122" max="5122" width="7.5703125" style="12" customWidth="1"/>
    <col min="5123" max="5123" width="11.7109375" style="12" customWidth="1"/>
    <col min="5124" max="5124" width="12" style="12" customWidth="1"/>
    <col min="5125" max="5125" width="8.7109375" style="12" customWidth="1"/>
    <col min="5126" max="5126" width="70" style="12" customWidth="1"/>
    <col min="5127" max="5127" width="6.7109375" style="12" customWidth="1"/>
    <col min="5128" max="5128" width="11.85546875" style="12" customWidth="1"/>
    <col min="5129" max="5130" width="13.5703125" style="12" customWidth="1"/>
    <col min="5131" max="5131" width="12.140625" style="12" customWidth="1"/>
    <col min="5132" max="5132" width="14.42578125" style="12" customWidth="1"/>
    <col min="5133" max="5133" width="10" style="12" bestFit="1" customWidth="1"/>
    <col min="5134" max="5376" width="9.140625" style="12"/>
    <col min="5377" max="5377" width="4.42578125" style="12" customWidth="1"/>
    <col min="5378" max="5378" width="7.5703125" style="12" customWidth="1"/>
    <col min="5379" max="5379" width="11.7109375" style="12" customWidth="1"/>
    <col min="5380" max="5380" width="12" style="12" customWidth="1"/>
    <col min="5381" max="5381" width="8.7109375" style="12" customWidth="1"/>
    <col min="5382" max="5382" width="70" style="12" customWidth="1"/>
    <col min="5383" max="5383" width="6.7109375" style="12" customWidth="1"/>
    <col min="5384" max="5384" width="11.85546875" style="12" customWidth="1"/>
    <col min="5385" max="5386" width="13.5703125" style="12" customWidth="1"/>
    <col min="5387" max="5387" width="12.140625" style="12" customWidth="1"/>
    <col min="5388" max="5388" width="14.42578125" style="12" customWidth="1"/>
    <col min="5389" max="5389" width="10" style="12" bestFit="1" customWidth="1"/>
    <col min="5390" max="5632" width="9.140625" style="12"/>
    <col min="5633" max="5633" width="4.42578125" style="12" customWidth="1"/>
    <col min="5634" max="5634" width="7.5703125" style="12" customWidth="1"/>
    <col min="5635" max="5635" width="11.7109375" style="12" customWidth="1"/>
    <col min="5636" max="5636" width="12" style="12" customWidth="1"/>
    <col min="5637" max="5637" width="8.7109375" style="12" customWidth="1"/>
    <col min="5638" max="5638" width="70" style="12" customWidth="1"/>
    <col min="5639" max="5639" width="6.7109375" style="12" customWidth="1"/>
    <col min="5640" max="5640" width="11.85546875" style="12" customWidth="1"/>
    <col min="5641" max="5642" width="13.5703125" style="12" customWidth="1"/>
    <col min="5643" max="5643" width="12.140625" style="12" customWidth="1"/>
    <col min="5644" max="5644" width="14.42578125" style="12" customWidth="1"/>
    <col min="5645" max="5645" width="10" style="12" bestFit="1" customWidth="1"/>
    <col min="5646" max="5888" width="9.140625" style="12"/>
    <col min="5889" max="5889" width="4.42578125" style="12" customWidth="1"/>
    <col min="5890" max="5890" width="7.5703125" style="12" customWidth="1"/>
    <col min="5891" max="5891" width="11.7109375" style="12" customWidth="1"/>
    <col min="5892" max="5892" width="12" style="12" customWidth="1"/>
    <col min="5893" max="5893" width="8.7109375" style="12" customWidth="1"/>
    <col min="5894" max="5894" width="70" style="12" customWidth="1"/>
    <col min="5895" max="5895" width="6.7109375" style="12" customWidth="1"/>
    <col min="5896" max="5896" width="11.85546875" style="12" customWidth="1"/>
    <col min="5897" max="5898" width="13.5703125" style="12" customWidth="1"/>
    <col min="5899" max="5899" width="12.140625" style="12" customWidth="1"/>
    <col min="5900" max="5900" width="14.42578125" style="12" customWidth="1"/>
    <col min="5901" max="5901" width="10" style="12" bestFit="1" customWidth="1"/>
    <col min="5902" max="6144" width="9.140625" style="12"/>
    <col min="6145" max="6145" width="4.42578125" style="12" customWidth="1"/>
    <col min="6146" max="6146" width="7.5703125" style="12" customWidth="1"/>
    <col min="6147" max="6147" width="11.7109375" style="12" customWidth="1"/>
    <col min="6148" max="6148" width="12" style="12" customWidth="1"/>
    <col min="6149" max="6149" width="8.7109375" style="12" customWidth="1"/>
    <col min="6150" max="6150" width="70" style="12" customWidth="1"/>
    <col min="6151" max="6151" width="6.7109375" style="12" customWidth="1"/>
    <col min="6152" max="6152" width="11.85546875" style="12" customWidth="1"/>
    <col min="6153" max="6154" width="13.5703125" style="12" customWidth="1"/>
    <col min="6155" max="6155" width="12.140625" style="12" customWidth="1"/>
    <col min="6156" max="6156" width="14.42578125" style="12" customWidth="1"/>
    <col min="6157" max="6157" width="10" style="12" bestFit="1" customWidth="1"/>
    <col min="6158" max="6400" width="9.140625" style="12"/>
    <col min="6401" max="6401" width="4.42578125" style="12" customWidth="1"/>
    <col min="6402" max="6402" width="7.5703125" style="12" customWidth="1"/>
    <col min="6403" max="6403" width="11.7109375" style="12" customWidth="1"/>
    <col min="6404" max="6404" width="12" style="12" customWidth="1"/>
    <col min="6405" max="6405" width="8.7109375" style="12" customWidth="1"/>
    <col min="6406" max="6406" width="70" style="12" customWidth="1"/>
    <col min="6407" max="6407" width="6.7109375" style="12" customWidth="1"/>
    <col min="6408" max="6408" width="11.85546875" style="12" customWidth="1"/>
    <col min="6409" max="6410" width="13.5703125" style="12" customWidth="1"/>
    <col min="6411" max="6411" width="12.140625" style="12" customWidth="1"/>
    <col min="6412" max="6412" width="14.42578125" style="12" customWidth="1"/>
    <col min="6413" max="6413" width="10" style="12" bestFit="1" customWidth="1"/>
    <col min="6414" max="6656" width="9.140625" style="12"/>
    <col min="6657" max="6657" width="4.42578125" style="12" customWidth="1"/>
    <col min="6658" max="6658" width="7.5703125" style="12" customWidth="1"/>
    <col min="6659" max="6659" width="11.7109375" style="12" customWidth="1"/>
    <col min="6660" max="6660" width="12" style="12" customWidth="1"/>
    <col min="6661" max="6661" width="8.7109375" style="12" customWidth="1"/>
    <col min="6662" max="6662" width="70" style="12" customWidth="1"/>
    <col min="6663" max="6663" width="6.7109375" style="12" customWidth="1"/>
    <col min="6664" max="6664" width="11.85546875" style="12" customWidth="1"/>
    <col min="6665" max="6666" width="13.5703125" style="12" customWidth="1"/>
    <col min="6667" max="6667" width="12.140625" style="12" customWidth="1"/>
    <col min="6668" max="6668" width="14.42578125" style="12" customWidth="1"/>
    <col min="6669" max="6669" width="10" style="12" bestFit="1" customWidth="1"/>
    <col min="6670" max="6912" width="9.140625" style="12"/>
    <col min="6913" max="6913" width="4.42578125" style="12" customWidth="1"/>
    <col min="6914" max="6914" width="7.5703125" style="12" customWidth="1"/>
    <col min="6915" max="6915" width="11.7109375" style="12" customWidth="1"/>
    <col min="6916" max="6916" width="12" style="12" customWidth="1"/>
    <col min="6917" max="6917" width="8.7109375" style="12" customWidth="1"/>
    <col min="6918" max="6918" width="70" style="12" customWidth="1"/>
    <col min="6919" max="6919" width="6.7109375" style="12" customWidth="1"/>
    <col min="6920" max="6920" width="11.85546875" style="12" customWidth="1"/>
    <col min="6921" max="6922" width="13.5703125" style="12" customWidth="1"/>
    <col min="6923" max="6923" width="12.140625" style="12" customWidth="1"/>
    <col min="6924" max="6924" width="14.42578125" style="12" customWidth="1"/>
    <col min="6925" max="6925" width="10" style="12" bestFit="1" customWidth="1"/>
    <col min="6926" max="7168" width="9.140625" style="12"/>
    <col min="7169" max="7169" width="4.42578125" style="12" customWidth="1"/>
    <col min="7170" max="7170" width="7.5703125" style="12" customWidth="1"/>
    <col min="7171" max="7171" width="11.7109375" style="12" customWidth="1"/>
    <col min="7172" max="7172" width="12" style="12" customWidth="1"/>
    <col min="7173" max="7173" width="8.7109375" style="12" customWidth="1"/>
    <col min="7174" max="7174" width="70" style="12" customWidth="1"/>
    <col min="7175" max="7175" width="6.7109375" style="12" customWidth="1"/>
    <col min="7176" max="7176" width="11.85546875" style="12" customWidth="1"/>
    <col min="7177" max="7178" width="13.5703125" style="12" customWidth="1"/>
    <col min="7179" max="7179" width="12.140625" style="12" customWidth="1"/>
    <col min="7180" max="7180" width="14.42578125" style="12" customWidth="1"/>
    <col min="7181" max="7181" width="10" style="12" bestFit="1" customWidth="1"/>
    <col min="7182" max="7424" width="9.140625" style="12"/>
    <col min="7425" max="7425" width="4.42578125" style="12" customWidth="1"/>
    <col min="7426" max="7426" width="7.5703125" style="12" customWidth="1"/>
    <col min="7427" max="7427" width="11.7109375" style="12" customWidth="1"/>
    <col min="7428" max="7428" width="12" style="12" customWidth="1"/>
    <col min="7429" max="7429" width="8.7109375" style="12" customWidth="1"/>
    <col min="7430" max="7430" width="70" style="12" customWidth="1"/>
    <col min="7431" max="7431" width="6.7109375" style="12" customWidth="1"/>
    <col min="7432" max="7432" width="11.85546875" style="12" customWidth="1"/>
    <col min="7433" max="7434" width="13.5703125" style="12" customWidth="1"/>
    <col min="7435" max="7435" width="12.140625" style="12" customWidth="1"/>
    <col min="7436" max="7436" width="14.42578125" style="12" customWidth="1"/>
    <col min="7437" max="7437" width="10" style="12" bestFit="1" customWidth="1"/>
    <col min="7438" max="7680" width="9.140625" style="12"/>
    <col min="7681" max="7681" width="4.42578125" style="12" customWidth="1"/>
    <col min="7682" max="7682" width="7.5703125" style="12" customWidth="1"/>
    <col min="7683" max="7683" width="11.7109375" style="12" customWidth="1"/>
    <col min="7684" max="7684" width="12" style="12" customWidth="1"/>
    <col min="7685" max="7685" width="8.7109375" style="12" customWidth="1"/>
    <col min="7686" max="7686" width="70" style="12" customWidth="1"/>
    <col min="7687" max="7687" width="6.7109375" style="12" customWidth="1"/>
    <col min="7688" max="7688" width="11.85546875" style="12" customWidth="1"/>
    <col min="7689" max="7690" width="13.5703125" style="12" customWidth="1"/>
    <col min="7691" max="7691" width="12.140625" style="12" customWidth="1"/>
    <col min="7692" max="7692" width="14.42578125" style="12" customWidth="1"/>
    <col min="7693" max="7693" width="10" style="12" bestFit="1" customWidth="1"/>
    <col min="7694" max="7936" width="9.140625" style="12"/>
    <col min="7937" max="7937" width="4.42578125" style="12" customWidth="1"/>
    <col min="7938" max="7938" width="7.5703125" style="12" customWidth="1"/>
    <col min="7939" max="7939" width="11.7109375" style="12" customWidth="1"/>
    <col min="7940" max="7940" width="12" style="12" customWidth="1"/>
    <col min="7941" max="7941" width="8.7109375" style="12" customWidth="1"/>
    <col min="7942" max="7942" width="70" style="12" customWidth="1"/>
    <col min="7943" max="7943" width="6.7109375" style="12" customWidth="1"/>
    <col min="7944" max="7944" width="11.85546875" style="12" customWidth="1"/>
    <col min="7945" max="7946" width="13.5703125" style="12" customWidth="1"/>
    <col min="7947" max="7947" width="12.140625" style="12" customWidth="1"/>
    <col min="7948" max="7948" width="14.42578125" style="12" customWidth="1"/>
    <col min="7949" max="7949" width="10" style="12" bestFit="1" customWidth="1"/>
    <col min="7950" max="8192" width="9.140625" style="12"/>
    <col min="8193" max="8193" width="4.42578125" style="12" customWidth="1"/>
    <col min="8194" max="8194" width="7.5703125" style="12" customWidth="1"/>
    <col min="8195" max="8195" width="11.7109375" style="12" customWidth="1"/>
    <col min="8196" max="8196" width="12" style="12" customWidth="1"/>
    <col min="8197" max="8197" width="8.7109375" style="12" customWidth="1"/>
    <col min="8198" max="8198" width="70" style="12" customWidth="1"/>
    <col min="8199" max="8199" width="6.7109375" style="12" customWidth="1"/>
    <col min="8200" max="8200" width="11.85546875" style="12" customWidth="1"/>
    <col min="8201" max="8202" width="13.5703125" style="12" customWidth="1"/>
    <col min="8203" max="8203" width="12.140625" style="12" customWidth="1"/>
    <col min="8204" max="8204" width="14.42578125" style="12" customWidth="1"/>
    <col min="8205" max="8205" width="10" style="12" bestFit="1" customWidth="1"/>
    <col min="8206" max="8448" width="9.140625" style="12"/>
    <col min="8449" max="8449" width="4.42578125" style="12" customWidth="1"/>
    <col min="8450" max="8450" width="7.5703125" style="12" customWidth="1"/>
    <col min="8451" max="8451" width="11.7109375" style="12" customWidth="1"/>
    <col min="8452" max="8452" width="12" style="12" customWidth="1"/>
    <col min="8453" max="8453" width="8.7109375" style="12" customWidth="1"/>
    <col min="8454" max="8454" width="70" style="12" customWidth="1"/>
    <col min="8455" max="8455" width="6.7109375" style="12" customWidth="1"/>
    <col min="8456" max="8456" width="11.85546875" style="12" customWidth="1"/>
    <col min="8457" max="8458" width="13.5703125" style="12" customWidth="1"/>
    <col min="8459" max="8459" width="12.140625" style="12" customWidth="1"/>
    <col min="8460" max="8460" width="14.42578125" style="12" customWidth="1"/>
    <col min="8461" max="8461" width="10" style="12" bestFit="1" customWidth="1"/>
    <col min="8462" max="8704" width="9.140625" style="12"/>
    <col min="8705" max="8705" width="4.42578125" style="12" customWidth="1"/>
    <col min="8706" max="8706" width="7.5703125" style="12" customWidth="1"/>
    <col min="8707" max="8707" width="11.7109375" style="12" customWidth="1"/>
    <col min="8708" max="8708" width="12" style="12" customWidth="1"/>
    <col min="8709" max="8709" width="8.7109375" style="12" customWidth="1"/>
    <col min="8710" max="8710" width="70" style="12" customWidth="1"/>
    <col min="8711" max="8711" width="6.7109375" style="12" customWidth="1"/>
    <col min="8712" max="8712" width="11.85546875" style="12" customWidth="1"/>
    <col min="8713" max="8714" width="13.5703125" style="12" customWidth="1"/>
    <col min="8715" max="8715" width="12.140625" style="12" customWidth="1"/>
    <col min="8716" max="8716" width="14.42578125" style="12" customWidth="1"/>
    <col min="8717" max="8717" width="10" style="12" bestFit="1" customWidth="1"/>
    <col min="8718" max="8960" width="9.140625" style="12"/>
    <col min="8961" max="8961" width="4.42578125" style="12" customWidth="1"/>
    <col min="8962" max="8962" width="7.5703125" style="12" customWidth="1"/>
    <col min="8963" max="8963" width="11.7109375" style="12" customWidth="1"/>
    <col min="8964" max="8964" width="12" style="12" customWidth="1"/>
    <col min="8965" max="8965" width="8.7109375" style="12" customWidth="1"/>
    <col min="8966" max="8966" width="70" style="12" customWidth="1"/>
    <col min="8967" max="8967" width="6.7109375" style="12" customWidth="1"/>
    <col min="8968" max="8968" width="11.85546875" style="12" customWidth="1"/>
    <col min="8969" max="8970" width="13.5703125" style="12" customWidth="1"/>
    <col min="8971" max="8971" width="12.140625" style="12" customWidth="1"/>
    <col min="8972" max="8972" width="14.42578125" style="12" customWidth="1"/>
    <col min="8973" max="8973" width="10" style="12" bestFit="1" customWidth="1"/>
    <col min="8974" max="9216" width="9.140625" style="12"/>
    <col min="9217" max="9217" width="4.42578125" style="12" customWidth="1"/>
    <col min="9218" max="9218" width="7.5703125" style="12" customWidth="1"/>
    <col min="9219" max="9219" width="11.7109375" style="12" customWidth="1"/>
    <col min="9220" max="9220" width="12" style="12" customWidth="1"/>
    <col min="9221" max="9221" width="8.7109375" style="12" customWidth="1"/>
    <col min="9222" max="9222" width="70" style="12" customWidth="1"/>
    <col min="9223" max="9223" width="6.7109375" style="12" customWidth="1"/>
    <col min="9224" max="9224" width="11.85546875" style="12" customWidth="1"/>
    <col min="9225" max="9226" width="13.5703125" style="12" customWidth="1"/>
    <col min="9227" max="9227" width="12.140625" style="12" customWidth="1"/>
    <col min="9228" max="9228" width="14.42578125" style="12" customWidth="1"/>
    <col min="9229" max="9229" width="10" style="12" bestFit="1" customWidth="1"/>
    <col min="9230" max="9472" width="9.140625" style="12"/>
    <col min="9473" max="9473" width="4.42578125" style="12" customWidth="1"/>
    <col min="9474" max="9474" width="7.5703125" style="12" customWidth="1"/>
    <col min="9475" max="9475" width="11.7109375" style="12" customWidth="1"/>
    <col min="9476" max="9476" width="12" style="12" customWidth="1"/>
    <col min="9477" max="9477" width="8.7109375" style="12" customWidth="1"/>
    <col min="9478" max="9478" width="70" style="12" customWidth="1"/>
    <col min="9479" max="9479" width="6.7109375" style="12" customWidth="1"/>
    <col min="9480" max="9480" width="11.85546875" style="12" customWidth="1"/>
    <col min="9481" max="9482" width="13.5703125" style="12" customWidth="1"/>
    <col min="9483" max="9483" width="12.140625" style="12" customWidth="1"/>
    <col min="9484" max="9484" width="14.42578125" style="12" customWidth="1"/>
    <col min="9485" max="9485" width="10" style="12" bestFit="1" customWidth="1"/>
    <col min="9486" max="9728" width="9.140625" style="12"/>
    <col min="9729" max="9729" width="4.42578125" style="12" customWidth="1"/>
    <col min="9730" max="9730" width="7.5703125" style="12" customWidth="1"/>
    <col min="9731" max="9731" width="11.7109375" style="12" customWidth="1"/>
    <col min="9732" max="9732" width="12" style="12" customWidth="1"/>
    <col min="9733" max="9733" width="8.7109375" style="12" customWidth="1"/>
    <col min="9734" max="9734" width="70" style="12" customWidth="1"/>
    <col min="9735" max="9735" width="6.7109375" style="12" customWidth="1"/>
    <col min="9736" max="9736" width="11.85546875" style="12" customWidth="1"/>
    <col min="9737" max="9738" width="13.5703125" style="12" customWidth="1"/>
    <col min="9739" max="9739" width="12.140625" style="12" customWidth="1"/>
    <col min="9740" max="9740" width="14.42578125" style="12" customWidth="1"/>
    <col min="9741" max="9741" width="10" style="12" bestFit="1" customWidth="1"/>
    <col min="9742" max="9984" width="9.140625" style="12"/>
    <col min="9985" max="9985" width="4.42578125" style="12" customWidth="1"/>
    <col min="9986" max="9986" width="7.5703125" style="12" customWidth="1"/>
    <col min="9987" max="9987" width="11.7109375" style="12" customWidth="1"/>
    <col min="9988" max="9988" width="12" style="12" customWidth="1"/>
    <col min="9989" max="9989" width="8.7109375" style="12" customWidth="1"/>
    <col min="9990" max="9990" width="70" style="12" customWidth="1"/>
    <col min="9991" max="9991" width="6.7109375" style="12" customWidth="1"/>
    <col min="9992" max="9992" width="11.85546875" style="12" customWidth="1"/>
    <col min="9993" max="9994" width="13.5703125" style="12" customWidth="1"/>
    <col min="9995" max="9995" width="12.140625" style="12" customWidth="1"/>
    <col min="9996" max="9996" width="14.42578125" style="12" customWidth="1"/>
    <col min="9997" max="9997" width="10" style="12" bestFit="1" customWidth="1"/>
    <col min="9998" max="10240" width="9.140625" style="12"/>
    <col min="10241" max="10241" width="4.42578125" style="12" customWidth="1"/>
    <col min="10242" max="10242" width="7.5703125" style="12" customWidth="1"/>
    <col min="10243" max="10243" width="11.7109375" style="12" customWidth="1"/>
    <col min="10244" max="10244" width="12" style="12" customWidth="1"/>
    <col min="10245" max="10245" width="8.7109375" style="12" customWidth="1"/>
    <col min="10246" max="10246" width="70" style="12" customWidth="1"/>
    <col min="10247" max="10247" width="6.7109375" style="12" customWidth="1"/>
    <col min="10248" max="10248" width="11.85546875" style="12" customWidth="1"/>
    <col min="10249" max="10250" width="13.5703125" style="12" customWidth="1"/>
    <col min="10251" max="10251" width="12.140625" style="12" customWidth="1"/>
    <col min="10252" max="10252" width="14.42578125" style="12" customWidth="1"/>
    <col min="10253" max="10253" width="10" style="12" bestFit="1" customWidth="1"/>
    <col min="10254" max="10496" width="9.140625" style="12"/>
    <col min="10497" max="10497" width="4.42578125" style="12" customWidth="1"/>
    <col min="10498" max="10498" width="7.5703125" style="12" customWidth="1"/>
    <col min="10499" max="10499" width="11.7109375" style="12" customWidth="1"/>
    <col min="10500" max="10500" width="12" style="12" customWidth="1"/>
    <col min="10501" max="10501" width="8.7109375" style="12" customWidth="1"/>
    <col min="10502" max="10502" width="70" style="12" customWidth="1"/>
    <col min="10503" max="10503" width="6.7109375" style="12" customWidth="1"/>
    <col min="10504" max="10504" width="11.85546875" style="12" customWidth="1"/>
    <col min="10505" max="10506" width="13.5703125" style="12" customWidth="1"/>
    <col min="10507" max="10507" width="12.140625" style="12" customWidth="1"/>
    <col min="10508" max="10508" width="14.42578125" style="12" customWidth="1"/>
    <col min="10509" max="10509" width="10" style="12" bestFit="1" customWidth="1"/>
    <col min="10510" max="10752" width="9.140625" style="12"/>
    <col min="10753" max="10753" width="4.42578125" style="12" customWidth="1"/>
    <col min="10754" max="10754" width="7.5703125" style="12" customWidth="1"/>
    <col min="10755" max="10755" width="11.7109375" style="12" customWidth="1"/>
    <col min="10756" max="10756" width="12" style="12" customWidth="1"/>
    <col min="10757" max="10757" width="8.7109375" style="12" customWidth="1"/>
    <col min="10758" max="10758" width="70" style="12" customWidth="1"/>
    <col min="10759" max="10759" width="6.7109375" style="12" customWidth="1"/>
    <col min="10760" max="10760" width="11.85546875" style="12" customWidth="1"/>
    <col min="10761" max="10762" width="13.5703125" style="12" customWidth="1"/>
    <col min="10763" max="10763" width="12.140625" style="12" customWidth="1"/>
    <col min="10764" max="10764" width="14.42578125" style="12" customWidth="1"/>
    <col min="10765" max="10765" width="10" style="12" bestFit="1" customWidth="1"/>
    <col min="10766" max="11008" width="9.140625" style="12"/>
    <col min="11009" max="11009" width="4.42578125" style="12" customWidth="1"/>
    <col min="11010" max="11010" width="7.5703125" style="12" customWidth="1"/>
    <col min="11011" max="11011" width="11.7109375" style="12" customWidth="1"/>
    <col min="11012" max="11012" width="12" style="12" customWidth="1"/>
    <col min="11013" max="11013" width="8.7109375" style="12" customWidth="1"/>
    <col min="11014" max="11014" width="70" style="12" customWidth="1"/>
    <col min="11015" max="11015" width="6.7109375" style="12" customWidth="1"/>
    <col min="11016" max="11016" width="11.85546875" style="12" customWidth="1"/>
    <col min="11017" max="11018" width="13.5703125" style="12" customWidth="1"/>
    <col min="11019" max="11019" width="12.140625" style="12" customWidth="1"/>
    <col min="11020" max="11020" width="14.42578125" style="12" customWidth="1"/>
    <col min="11021" max="11021" width="10" style="12" bestFit="1" customWidth="1"/>
    <col min="11022" max="11264" width="9.140625" style="12"/>
    <col min="11265" max="11265" width="4.42578125" style="12" customWidth="1"/>
    <col min="11266" max="11266" width="7.5703125" style="12" customWidth="1"/>
    <col min="11267" max="11267" width="11.7109375" style="12" customWidth="1"/>
    <col min="11268" max="11268" width="12" style="12" customWidth="1"/>
    <col min="11269" max="11269" width="8.7109375" style="12" customWidth="1"/>
    <col min="11270" max="11270" width="70" style="12" customWidth="1"/>
    <col min="11271" max="11271" width="6.7109375" style="12" customWidth="1"/>
    <col min="11272" max="11272" width="11.85546875" style="12" customWidth="1"/>
    <col min="11273" max="11274" width="13.5703125" style="12" customWidth="1"/>
    <col min="11275" max="11275" width="12.140625" style="12" customWidth="1"/>
    <col min="11276" max="11276" width="14.42578125" style="12" customWidth="1"/>
    <col min="11277" max="11277" width="10" style="12" bestFit="1" customWidth="1"/>
    <col min="11278" max="11520" width="9.140625" style="12"/>
    <col min="11521" max="11521" width="4.42578125" style="12" customWidth="1"/>
    <col min="11522" max="11522" width="7.5703125" style="12" customWidth="1"/>
    <col min="11523" max="11523" width="11.7109375" style="12" customWidth="1"/>
    <col min="11524" max="11524" width="12" style="12" customWidth="1"/>
    <col min="11525" max="11525" width="8.7109375" style="12" customWidth="1"/>
    <col min="11526" max="11526" width="70" style="12" customWidth="1"/>
    <col min="11527" max="11527" width="6.7109375" style="12" customWidth="1"/>
    <col min="11528" max="11528" width="11.85546875" style="12" customWidth="1"/>
    <col min="11529" max="11530" width="13.5703125" style="12" customWidth="1"/>
    <col min="11531" max="11531" width="12.140625" style="12" customWidth="1"/>
    <col min="11532" max="11532" width="14.42578125" style="12" customWidth="1"/>
    <col min="11533" max="11533" width="10" style="12" bestFit="1" customWidth="1"/>
    <col min="11534" max="11776" width="9.140625" style="12"/>
    <col min="11777" max="11777" width="4.42578125" style="12" customWidth="1"/>
    <col min="11778" max="11778" width="7.5703125" style="12" customWidth="1"/>
    <col min="11779" max="11779" width="11.7109375" style="12" customWidth="1"/>
    <col min="11780" max="11780" width="12" style="12" customWidth="1"/>
    <col min="11781" max="11781" width="8.7109375" style="12" customWidth="1"/>
    <col min="11782" max="11782" width="70" style="12" customWidth="1"/>
    <col min="11783" max="11783" width="6.7109375" style="12" customWidth="1"/>
    <col min="11784" max="11784" width="11.85546875" style="12" customWidth="1"/>
    <col min="11785" max="11786" width="13.5703125" style="12" customWidth="1"/>
    <col min="11787" max="11787" width="12.140625" style="12" customWidth="1"/>
    <col min="11788" max="11788" width="14.42578125" style="12" customWidth="1"/>
    <col min="11789" max="11789" width="10" style="12" bestFit="1" customWidth="1"/>
    <col min="11790" max="12032" width="9.140625" style="12"/>
    <col min="12033" max="12033" width="4.42578125" style="12" customWidth="1"/>
    <col min="12034" max="12034" width="7.5703125" style="12" customWidth="1"/>
    <col min="12035" max="12035" width="11.7109375" style="12" customWidth="1"/>
    <col min="12036" max="12036" width="12" style="12" customWidth="1"/>
    <col min="12037" max="12037" width="8.7109375" style="12" customWidth="1"/>
    <col min="12038" max="12038" width="70" style="12" customWidth="1"/>
    <col min="12039" max="12039" width="6.7109375" style="12" customWidth="1"/>
    <col min="12040" max="12040" width="11.85546875" style="12" customWidth="1"/>
    <col min="12041" max="12042" width="13.5703125" style="12" customWidth="1"/>
    <col min="12043" max="12043" width="12.140625" style="12" customWidth="1"/>
    <col min="12044" max="12044" width="14.42578125" style="12" customWidth="1"/>
    <col min="12045" max="12045" width="10" style="12" bestFit="1" customWidth="1"/>
    <col min="12046" max="12288" width="9.140625" style="12"/>
    <col min="12289" max="12289" width="4.42578125" style="12" customWidth="1"/>
    <col min="12290" max="12290" width="7.5703125" style="12" customWidth="1"/>
    <col min="12291" max="12291" width="11.7109375" style="12" customWidth="1"/>
    <col min="12292" max="12292" width="12" style="12" customWidth="1"/>
    <col min="12293" max="12293" width="8.7109375" style="12" customWidth="1"/>
    <col min="12294" max="12294" width="70" style="12" customWidth="1"/>
    <col min="12295" max="12295" width="6.7109375" style="12" customWidth="1"/>
    <col min="12296" max="12296" width="11.85546875" style="12" customWidth="1"/>
    <col min="12297" max="12298" width="13.5703125" style="12" customWidth="1"/>
    <col min="12299" max="12299" width="12.140625" style="12" customWidth="1"/>
    <col min="12300" max="12300" width="14.42578125" style="12" customWidth="1"/>
    <col min="12301" max="12301" width="10" style="12" bestFit="1" customWidth="1"/>
    <col min="12302" max="12544" width="9.140625" style="12"/>
    <col min="12545" max="12545" width="4.42578125" style="12" customWidth="1"/>
    <col min="12546" max="12546" width="7.5703125" style="12" customWidth="1"/>
    <col min="12547" max="12547" width="11.7109375" style="12" customWidth="1"/>
    <col min="12548" max="12548" width="12" style="12" customWidth="1"/>
    <col min="12549" max="12549" width="8.7109375" style="12" customWidth="1"/>
    <col min="12550" max="12550" width="70" style="12" customWidth="1"/>
    <col min="12551" max="12551" width="6.7109375" style="12" customWidth="1"/>
    <col min="12552" max="12552" width="11.85546875" style="12" customWidth="1"/>
    <col min="12553" max="12554" width="13.5703125" style="12" customWidth="1"/>
    <col min="12555" max="12555" width="12.140625" style="12" customWidth="1"/>
    <col min="12556" max="12556" width="14.42578125" style="12" customWidth="1"/>
    <col min="12557" max="12557" width="10" style="12" bestFit="1" customWidth="1"/>
    <col min="12558" max="12800" width="9.140625" style="12"/>
    <col min="12801" max="12801" width="4.42578125" style="12" customWidth="1"/>
    <col min="12802" max="12802" width="7.5703125" style="12" customWidth="1"/>
    <col min="12803" max="12803" width="11.7109375" style="12" customWidth="1"/>
    <col min="12804" max="12804" width="12" style="12" customWidth="1"/>
    <col min="12805" max="12805" width="8.7109375" style="12" customWidth="1"/>
    <col min="12806" max="12806" width="70" style="12" customWidth="1"/>
    <col min="12807" max="12807" width="6.7109375" style="12" customWidth="1"/>
    <col min="12808" max="12808" width="11.85546875" style="12" customWidth="1"/>
    <col min="12809" max="12810" width="13.5703125" style="12" customWidth="1"/>
    <col min="12811" max="12811" width="12.140625" style="12" customWidth="1"/>
    <col min="12812" max="12812" width="14.42578125" style="12" customWidth="1"/>
    <col min="12813" max="12813" width="10" style="12" bestFit="1" customWidth="1"/>
    <col min="12814" max="13056" width="9.140625" style="12"/>
    <col min="13057" max="13057" width="4.42578125" style="12" customWidth="1"/>
    <col min="13058" max="13058" width="7.5703125" style="12" customWidth="1"/>
    <col min="13059" max="13059" width="11.7109375" style="12" customWidth="1"/>
    <col min="13060" max="13060" width="12" style="12" customWidth="1"/>
    <col min="13061" max="13061" width="8.7109375" style="12" customWidth="1"/>
    <col min="13062" max="13062" width="70" style="12" customWidth="1"/>
    <col min="13063" max="13063" width="6.7109375" style="12" customWidth="1"/>
    <col min="13064" max="13064" width="11.85546875" style="12" customWidth="1"/>
    <col min="13065" max="13066" width="13.5703125" style="12" customWidth="1"/>
    <col min="13067" max="13067" width="12.140625" style="12" customWidth="1"/>
    <col min="13068" max="13068" width="14.42578125" style="12" customWidth="1"/>
    <col min="13069" max="13069" width="10" style="12" bestFit="1" customWidth="1"/>
    <col min="13070" max="13312" width="9.140625" style="12"/>
    <col min="13313" max="13313" width="4.42578125" style="12" customWidth="1"/>
    <col min="13314" max="13314" width="7.5703125" style="12" customWidth="1"/>
    <col min="13315" max="13315" width="11.7109375" style="12" customWidth="1"/>
    <col min="13316" max="13316" width="12" style="12" customWidth="1"/>
    <col min="13317" max="13317" width="8.7109375" style="12" customWidth="1"/>
    <col min="13318" max="13318" width="70" style="12" customWidth="1"/>
    <col min="13319" max="13319" width="6.7109375" style="12" customWidth="1"/>
    <col min="13320" max="13320" width="11.85546875" style="12" customWidth="1"/>
    <col min="13321" max="13322" width="13.5703125" style="12" customWidth="1"/>
    <col min="13323" max="13323" width="12.140625" style="12" customWidth="1"/>
    <col min="13324" max="13324" width="14.42578125" style="12" customWidth="1"/>
    <col min="13325" max="13325" width="10" style="12" bestFit="1" customWidth="1"/>
    <col min="13326" max="13568" width="9.140625" style="12"/>
    <col min="13569" max="13569" width="4.42578125" style="12" customWidth="1"/>
    <col min="13570" max="13570" width="7.5703125" style="12" customWidth="1"/>
    <col min="13571" max="13571" width="11.7109375" style="12" customWidth="1"/>
    <col min="13572" max="13572" width="12" style="12" customWidth="1"/>
    <col min="13573" max="13573" width="8.7109375" style="12" customWidth="1"/>
    <col min="13574" max="13574" width="70" style="12" customWidth="1"/>
    <col min="13575" max="13575" width="6.7109375" style="12" customWidth="1"/>
    <col min="13576" max="13576" width="11.85546875" style="12" customWidth="1"/>
    <col min="13577" max="13578" width="13.5703125" style="12" customWidth="1"/>
    <col min="13579" max="13579" width="12.140625" style="12" customWidth="1"/>
    <col min="13580" max="13580" width="14.42578125" style="12" customWidth="1"/>
    <col min="13581" max="13581" width="10" style="12" bestFit="1" customWidth="1"/>
    <col min="13582" max="13824" width="9.140625" style="12"/>
    <col min="13825" max="13825" width="4.42578125" style="12" customWidth="1"/>
    <col min="13826" max="13826" width="7.5703125" style="12" customWidth="1"/>
    <col min="13827" max="13827" width="11.7109375" style="12" customWidth="1"/>
    <col min="13828" max="13828" width="12" style="12" customWidth="1"/>
    <col min="13829" max="13829" width="8.7109375" style="12" customWidth="1"/>
    <col min="13830" max="13830" width="70" style="12" customWidth="1"/>
    <col min="13831" max="13831" width="6.7109375" style="12" customWidth="1"/>
    <col min="13832" max="13832" width="11.85546875" style="12" customWidth="1"/>
    <col min="13833" max="13834" width="13.5703125" style="12" customWidth="1"/>
    <col min="13835" max="13835" width="12.140625" style="12" customWidth="1"/>
    <col min="13836" max="13836" width="14.42578125" style="12" customWidth="1"/>
    <col min="13837" max="13837" width="10" style="12" bestFit="1" customWidth="1"/>
    <col min="13838" max="14080" width="9.140625" style="12"/>
    <col min="14081" max="14081" width="4.42578125" style="12" customWidth="1"/>
    <col min="14082" max="14082" width="7.5703125" style="12" customWidth="1"/>
    <col min="14083" max="14083" width="11.7109375" style="12" customWidth="1"/>
    <col min="14084" max="14084" width="12" style="12" customWidth="1"/>
    <col min="14085" max="14085" width="8.7109375" style="12" customWidth="1"/>
    <col min="14086" max="14086" width="70" style="12" customWidth="1"/>
    <col min="14087" max="14087" width="6.7109375" style="12" customWidth="1"/>
    <col min="14088" max="14088" width="11.85546875" style="12" customWidth="1"/>
    <col min="14089" max="14090" width="13.5703125" style="12" customWidth="1"/>
    <col min="14091" max="14091" width="12.140625" style="12" customWidth="1"/>
    <col min="14092" max="14092" width="14.42578125" style="12" customWidth="1"/>
    <col min="14093" max="14093" width="10" style="12" bestFit="1" customWidth="1"/>
    <col min="14094" max="14336" width="9.140625" style="12"/>
    <col min="14337" max="14337" width="4.42578125" style="12" customWidth="1"/>
    <col min="14338" max="14338" width="7.5703125" style="12" customWidth="1"/>
    <col min="14339" max="14339" width="11.7109375" style="12" customWidth="1"/>
    <col min="14340" max="14340" width="12" style="12" customWidth="1"/>
    <col min="14341" max="14341" width="8.7109375" style="12" customWidth="1"/>
    <col min="14342" max="14342" width="70" style="12" customWidth="1"/>
    <col min="14343" max="14343" width="6.7109375" style="12" customWidth="1"/>
    <col min="14344" max="14344" width="11.85546875" style="12" customWidth="1"/>
    <col min="14345" max="14346" width="13.5703125" style="12" customWidth="1"/>
    <col min="14347" max="14347" width="12.140625" style="12" customWidth="1"/>
    <col min="14348" max="14348" width="14.42578125" style="12" customWidth="1"/>
    <col min="14349" max="14349" width="10" style="12" bestFit="1" customWidth="1"/>
    <col min="14350" max="14592" width="9.140625" style="12"/>
    <col min="14593" max="14593" width="4.42578125" style="12" customWidth="1"/>
    <col min="14594" max="14594" width="7.5703125" style="12" customWidth="1"/>
    <col min="14595" max="14595" width="11.7109375" style="12" customWidth="1"/>
    <col min="14596" max="14596" width="12" style="12" customWidth="1"/>
    <col min="14597" max="14597" width="8.7109375" style="12" customWidth="1"/>
    <col min="14598" max="14598" width="70" style="12" customWidth="1"/>
    <col min="14599" max="14599" width="6.7109375" style="12" customWidth="1"/>
    <col min="14600" max="14600" width="11.85546875" style="12" customWidth="1"/>
    <col min="14601" max="14602" width="13.5703125" style="12" customWidth="1"/>
    <col min="14603" max="14603" width="12.140625" style="12" customWidth="1"/>
    <col min="14604" max="14604" width="14.42578125" style="12" customWidth="1"/>
    <col min="14605" max="14605" width="10" style="12" bestFit="1" customWidth="1"/>
    <col min="14606" max="14848" width="9.140625" style="12"/>
    <col min="14849" max="14849" width="4.42578125" style="12" customWidth="1"/>
    <col min="14850" max="14850" width="7.5703125" style="12" customWidth="1"/>
    <col min="14851" max="14851" width="11.7109375" style="12" customWidth="1"/>
    <col min="14852" max="14852" width="12" style="12" customWidth="1"/>
    <col min="14853" max="14853" width="8.7109375" style="12" customWidth="1"/>
    <col min="14854" max="14854" width="70" style="12" customWidth="1"/>
    <col min="14855" max="14855" width="6.7109375" style="12" customWidth="1"/>
    <col min="14856" max="14856" width="11.85546875" style="12" customWidth="1"/>
    <col min="14857" max="14858" width="13.5703125" style="12" customWidth="1"/>
    <col min="14859" max="14859" width="12.140625" style="12" customWidth="1"/>
    <col min="14860" max="14860" width="14.42578125" style="12" customWidth="1"/>
    <col min="14861" max="14861" width="10" style="12" bestFit="1" customWidth="1"/>
    <col min="14862" max="15104" width="9.140625" style="12"/>
    <col min="15105" max="15105" width="4.42578125" style="12" customWidth="1"/>
    <col min="15106" max="15106" width="7.5703125" style="12" customWidth="1"/>
    <col min="15107" max="15107" width="11.7109375" style="12" customWidth="1"/>
    <col min="15108" max="15108" width="12" style="12" customWidth="1"/>
    <col min="15109" max="15109" width="8.7109375" style="12" customWidth="1"/>
    <col min="15110" max="15110" width="70" style="12" customWidth="1"/>
    <col min="15111" max="15111" width="6.7109375" style="12" customWidth="1"/>
    <col min="15112" max="15112" width="11.85546875" style="12" customWidth="1"/>
    <col min="15113" max="15114" width="13.5703125" style="12" customWidth="1"/>
    <col min="15115" max="15115" width="12.140625" style="12" customWidth="1"/>
    <col min="15116" max="15116" width="14.42578125" style="12" customWidth="1"/>
    <col min="15117" max="15117" width="10" style="12" bestFit="1" customWidth="1"/>
    <col min="15118" max="15360" width="9.140625" style="12"/>
    <col min="15361" max="15361" width="4.42578125" style="12" customWidth="1"/>
    <col min="15362" max="15362" width="7.5703125" style="12" customWidth="1"/>
    <col min="15363" max="15363" width="11.7109375" style="12" customWidth="1"/>
    <col min="15364" max="15364" width="12" style="12" customWidth="1"/>
    <col min="15365" max="15365" width="8.7109375" style="12" customWidth="1"/>
    <col min="15366" max="15366" width="70" style="12" customWidth="1"/>
    <col min="15367" max="15367" width="6.7109375" style="12" customWidth="1"/>
    <col min="15368" max="15368" width="11.85546875" style="12" customWidth="1"/>
    <col min="15369" max="15370" width="13.5703125" style="12" customWidth="1"/>
    <col min="15371" max="15371" width="12.140625" style="12" customWidth="1"/>
    <col min="15372" max="15372" width="14.42578125" style="12" customWidth="1"/>
    <col min="15373" max="15373" width="10" style="12" bestFit="1" customWidth="1"/>
    <col min="15374" max="15616" width="9.140625" style="12"/>
    <col min="15617" max="15617" width="4.42578125" style="12" customWidth="1"/>
    <col min="15618" max="15618" width="7.5703125" style="12" customWidth="1"/>
    <col min="15619" max="15619" width="11.7109375" style="12" customWidth="1"/>
    <col min="15620" max="15620" width="12" style="12" customWidth="1"/>
    <col min="15621" max="15621" width="8.7109375" style="12" customWidth="1"/>
    <col min="15622" max="15622" width="70" style="12" customWidth="1"/>
    <col min="15623" max="15623" width="6.7109375" style="12" customWidth="1"/>
    <col min="15624" max="15624" width="11.85546875" style="12" customWidth="1"/>
    <col min="15625" max="15626" width="13.5703125" style="12" customWidth="1"/>
    <col min="15627" max="15627" width="12.140625" style="12" customWidth="1"/>
    <col min="15628" max="15628" width="14.42578125" style="12" customWidth="1"/>
    <col min="15629" max="15629" width="10" style="12" bestFit="1" customWidth="1"/>
    <col min="15630" max="15872" width="9.140625" style="12"/>
    <col min="15873" max="15873" width="4.42578125" style="12" customWidth="1"/>
    <col min="15874" max="15874" width="7.5703125" style="12" customWidth="1"/>
    <col min="15875" max="15875" width="11.7109375" style="12" customWidth="1"/>
    <col min="15876" max="15876" width="12" style="12" customWidth="1"/>
    <col min="15877" max="15877" width="8.7109375" style="12" customWidth="1"/>
    <col min="15878" max="15878" width="70" style="12" customWidth="1"/>
    <col min="15879" max="15879" width="6.7109375" style="12" customWidth="1"/>
    <col min="15880" max="15880" width="11.85546875" style="12" customWidth="1"/>
    <col min="15881" max="15882" width="13.5703125" style="12" customWidth="1"/>
    <col min="15883" max="15883" width="12.140625" style="12" customWidth="1"/>
    <col min="15884" max="15884" width="14.42578125" style="12" customWidth="1"/>
    <col min="15885" max="15885" width="10" style="12" bestFit="1" customWidth="1"/>
    <col min="15886" max="16128" width="9.140625" style="12"/>
    <col min="16129" max="16129" width="4.42578125" style="12" customWidth="1"/>
    <col min="16130" max="16130" width="7.5703125" style="12" customWidth="1"/>
    <col min="16131" max="16131" width="11.7109375" style="12" customWidth="1"/>
    <col min="16132" max="16132" width="12" style="12" customWidth="1"/>
    <col min="16133" max="16133" width="8.7109375" style="12" customWidth="1"/>
    <col min="16134" max="16134" width="70" style="12" customWidth="1"/>
    <col min="16135" max="16135" width="6.7109375" style="12" customWidth="1"/>
    <col min="16136" max="16136" width="11.85546875" style="12" customWidth="1"/>
    <col min="16137" max="16138" width="13.5703125" style="12" customWidth="1"/>
    <col min="16139" max="16139" width="12.140625" style="12" customWidth="1"/>
    <col min="16140" max="16140" width="14.42578125" style="12" customWidth="1"/>
    <col min="16141" max="16141" width="10" style="12" bestFit="1" customWidth="1"/>
    <col min="16142" max="16384" width="9.140625" style="12"/>
  </cols>
  <sheetData>
    <row r="1" spans="1:15" ht="12.75" customHeight="1">
      <c r="B1" s="163" t="s">
        <v>281</v>
      </c>
      <c r="C1" s="163"/>
      <c r="D1" s="163"/>
      <c r="E1" s="163"/>
      <c r="F1" s="163"/>
      <c r="G1" s="163"/>
      <c r="H1" s="163"/>
      <c r="I1" s="163"/>
      <c r="J1" s="163"/>
      <c r="K1" s="163"/>
      <c r="L1" s="136"/>
    </row>
    <row r="2" spans="1:15" ht="20.100000000000001" customHeight="1">
      <c r="B2" s="164" t="s">
        <v>310</v>
      </c>
      <c r="C2" s="164"/>
      <c r="D2" s="164"/>
      <c r="E2" s="164"/>
      <c r="F2" s="164"/>
      <c r="G2" s="164"/>
      <c r="H2" s="164"/>
      <c r="I2" s="164"/>
      <c r="J2" s="164"/>
      <c r="K2" s="164"/>
      <c r="L2" s="137"/>
      <c r="N2" s="101"/>
    </row>
    <row r="3" spans="1:15" ht="20.100000000000001" customHeight="1">
      <c r="B3" s="165" t="s">
        <v>282</v>
      </c>
      <c r="C3" s="165"/>
      <c r="D3" s="165"/>
      <c r="E3" s="165"/>
      <c r="F3" s="165"/>
      <c r="G3" s="138"/>
      <c r="H3" s="138"/>
      <c r="I3" s="138"/>
      <c r="J3" s="138"/>
      <c r="K3" s="138"/>
      <c r="L3" s="136" t="s">
        <v>577</v>
      </c>
    </row>
    <row r="4" spans="1:15" ht="20.100000000000001" customHeight="1">
      <c r="B4" s="138"/>
      <c r="C4" s="139"/>
      <c r="D4" s="138"/>
      <c r="E4" s="138"/>
      <c r="F4" s="138"/>
      <c r="G4" s="140"/>
      <c r="H4" s="141"/>
      <c r="I4" s="140" t="s">
        <v>283</v>
      </c>
      <c r="J4" s="142">
        <v>0.3</v>
      </c>
      <c r="K4" s="140"/>
      <c r="L4" s="143">
        <f>SUM(K9:K275)</f>
        <v>328100.00019999995</v>
      </c>
      <c r="M4" s="104"/>
      <c r="N4" s="104"/>
    </row>
    <row r="5" spans="1:15" ht="38.25">
      <c r="A5" s="119"/>
      <c r="B5" s="144"/>
      <c r="C5" s="144" t="s">
        <v>284</v>
      </c>
      <c r="D5" s="144" t="s">
        <v>285</v>
      </c>
      <c r="E5" s="144" t="s">
        <v>286</v>
      </c>
      <c r="F5" s="144" t="s">
        <v>287</v>
      </c>
      <c r="G5" s="144" t="s">
        <v>799</v>
      </c>
      <c r="H5" s="145" t="s">
        <v>800</v>
      </c>
      <c r="I5" s="146" t="s">
        <v>288</v>
      </c>
      <c r="J5" s="146" t="s">
        <v>289</v>
      </c>
      <c r="K5" s="146" t="s">
        <v>290</v>
      </c>
      <c r="L5" s="136" t="s">
        <v>291</v>
      </c>
    </row>
    <row r="6" spans="1:15" ht="20.100000000000001" customHeight="1">
      <c r="A6" s="120"/>
      <c r="B6" s="136"/>
      <c r="C6" s="147"/>
      <c r="D6" s="136"/>
      <c r="E6" s="136"/>
      <c r="F6" s="148"/>
      <c r="G6" s="149"/>
      <c r="H6" s="150"/>
      <c r="I6" s="151"/>
      <c r="J6" s="151"/>
      <c r="K6" s="151"/>
      <c r="L6" s="152"/>
    </row>
    <row r="7" spans="1:15" ht="20.100000000000001" customHeight="1">
      <c r="A7" s="117"/>
      <c r="B7" s="136"/>
      <c r="C7" s="147"/>
      <c r="D7" s="136"/>
      <c r="E7" s="136"/>
      <c r="F7" s="148"/>
      <c r="G7" s="149"/>
      <c r="H7" s="150"/>
      <c r="I7" s="151"/>
      <c r="J7" s="151"/>
      <c r="K7" s="151"/>
      <c r="L7" s="152"/>
    </row>
    <row r="8" spans="1:15">
      <c r="B8" s="136"/>
      <c r="C8" s="147">
        <v>1</v>
      </c>
      <c r="D8" s="136"/>
      <c r="E8" s="136"/>
      <c r="F8" s="153" t="s">
        <v>653</v>
      </c>
      <c r="G8" s="136"/>
      <c r="H8" s="150"/>
      <c r="I8" s="150"/>
      <c r="J8" s="150"/>
      <c r="K8" s="150"/>
      <c r="L8" s="137">
        <f>SUM(K9:K19)</f>
        <v>28238.483000000004</v>
      </c>
      <c r="M8" s="101"/>
    </row>
    <row r="9" spans="1:15" ht="25.5">
      <c r="B9" s="136"/>
      <c r="C9" s="147" t="s">
        <v>321</v>
      </c>
      <c r="D9" s="136">
        <v>90446</v>
      </c>
      <c r="E9" s="136"/>
      <c r="F9" s="153" t="s">
        <v>654</v>
      </c>
      <c r="G9" s="136" t="s">
        <v>33</v>
      </c>
      <c r="H9" s="150">
        <v>30</v>
      </c>
      <c r="I9" s="150">
        <v>20</v>
      </c>
      <c r="J9" s="151">
        <f t="shared" ref="J9" si="0">I9*(1+$J$4)</f>
        <v>26</v>
      </c>
      <c r="K9" s="151">
        <f>J9*H9</f>
        <v>780</v>
      </c>
      <c r="L9" s="136"/>
      <c r="M9" s="103"/>
    </row>
    <row r="10" spans="1:15" ht="25.5">
      <c r="B10" s="136"/>
      <c r="C10" s="147" t="s">
        <v>657</v>
      </c>
      <c r="D10" s="136">
        <v>97622</v>
      </c>
      <c r="E10" s="136"/>
      <c r="F10" s="153" t="s">
        <v>655</v>
      </c>
      <c r="G10" s="136" t="s">
        <v>314</v>
      </c>
      <c r="H10" s="150">
        <v>12</v>
      </c>
      <c r="I10" s="150">
        <v>48</v>
      </c>
      <c r="J10" s="151">
        <f t="shared" ref="J10:J19" si="1">I10*(1+$J$4)</f>
        <v>62.400000000000006</v>
      </c>
      <c r="K10" s="151">
        <f t="shared" ref="K10:K19" si="2">J10*H10</f>
        <v>748.80000000000007</v>
      </c>
      <c r="L10" s="136"/>
      <c r="M10" s="101"/>
    </row>
    <row r="11" spans="1:15">
      <c r="B11" s="136"/>
      <c r="C11" s="147"/>
      <c r="D11" s="136"/>
      <c r="E11" s="136"/>
      <c r="F11" s="154" t="s">
        <v>478</v>
      </c>
      <c r="G11" s="136"/>
      <c r="H11" s="151"/>
      <c r="I11" s="151"/>
      <c r="J11" s="151">
        <f t="shared" si="1"/>
        <v>0</v>
      </c>
      <c r="K11" s="151">
        <f t="shared" si="2"/>
        <v>0</v>
      </c>
      <c r="L11" s="136"/>
      <c r="M11" s="101"/>
    </row>
    <row r="12" spans="1:15">
      <c r="B12" s="136"/>
      <c r="C12" s="147" t="s">
        <v>658</v>
      </c>
      <c r="D12" s="136">
        <v>96522</v>
      </c>
      <c r="E12" s="136"/>
      <c r="F12" s="154" t="s">
        <v>315</v>
      </c>
      <c r="G12" s="136" t="s">
        <v>314</v>
      </c>
      <c r="H12" s="151">
        <v>3.85</v>
      </c>
      <c r="I12" s="151">
        <v>131</v>
      </c>
      <c r="J12" s="151">
        <f t="shared" si="1"/>
        <v>170.3</v>
      </c>
      <c r="K12" s="151">
        <f t="shared" si="2"/>
        <v>655.65500000000009</v>
      </c>
      <c r="L12" s="136"/>
      <c r="M12" s="101"/>
    </row>
    <row r="13" spans="1:15" ht="37.5" customHeight="1">
      <c r="B13" s="136"/>
      <c r="C13" s="147" t="s">
        <v>659</v>
      </c>
      <c r="D13" s="136" t="s">
        <v>316</v>
      </c>
      <c r="E13" s="136"/>
      <c r="F13" s="154" t="s">
        <v>479</v>
      </c>
      <c r="G13" s="136" t="s">
        <v>33</v>
      </c>
      <c r="H13" s="151">
        <v>273</v>
      </c>
      <c r="I13" s="151">
        <v>40</v>
      </c>
      <c r="J13" s="151">
        <f t="shared" si="1"/>
        <v>52</v>
      </c>
      <c r="K13" s="151">
        <f t="shared" si="2"/>
        <v>14196</v>
      </c>
      <c r="L13" s="136"/>
      <c r="M13" s="101"/>
    </row>
    <row r="14" spans="1:15">
      <c r="B14" s="136"/>
      <c r="C14" s="147" t="s">
        <v>660</v>
      </c>
      <c r="D14" s="136">
        <v>96543</v>
      </c>
      <c r="E14" s="136"/>
      <c r="F14" s="155" t="s">
        <v>477</v>
      </c>
      <c r="G14" s="136" t="s">
        <v>22</v>
      </c>
      <c r="H14" s="151">
        <v>135</v>
      </c>
      <c r="I14" s="151">
        <v>11.5</v>
      </c>
      <c r="J14" s="151">
        <f t="shared" si="1"/>
        <v>14.950000000000001</v>
      </c>
      <c r="K14" s="151">
        <f t="shared" si="2"/>
        <v>2018.2500000000002</v>
      </c>
      <c r="L14" s="136"/>
      <c r="M14" s="101"/>
      <c r="N14" s="101"/>
    </row>
    <row r="15" spans="1:15">
      <c r="B15" s="136"/>
      <c r="C15" s="147"/>
      <c r="D15" s="136"/>
      <c r="E15" s="136"/>
      <c r="F15" s="156" t="s">
        <v>526</v>
      </c>
      <c r="G15" s="136"/>
      <c r="H15" s="151"/>
      <c r="I15" s="151"/>
      <c r="J15" s="151">
        <f t="shared" si="1"/>
        <v>0</v>
      </c>
      <c r="K15" s="151">
        <f t="shared" si="2"/>
        <v>0</v>
      </c>
      <c r="L15" s="136"/>
      <c r="M15" s="101"/>
      <c r="N15" s="101"/>
    </row>
    <row r="16" spans="1:15">
      <c r="B16" s="136"/>
      <c r="C16" s="147" t="s">
        <v>661</v>
      </c>
      <c r="D16" s="136"/>
      <c r="E16" s="136"/>
      <c r="F16" s="155" t="s">
        <v>490</v>
      </c>
      <c r="G16" s="136" t="s">
        <v>22</v>
      </c>
      <c r="H16" s="151">
        <f>171+25</f>
        <v>196</v>
      </c>
      <c r="I16" s="151">
        <v>11.5</v>
      </c>
      <c r="J16" s="151">
        <f t="shared" si="1"/>
        <v>14.950000000000001</v>
      </c>
      <c r="K16" s="151">
        <f t="shared" si="2"/>
        <v>2930.2000000000003</v>
      </c>
      <c r="L16" s="136"/>
      <c r="M16" s="101"/>
      <c r="O16" s="101"/>
    </row>
    <row r="17" spans="2:17">
      <c r="B17" s="136"/>
      <c r="C17" s="147" t="s">
        <v>662</v>
      </c>
      <c r="D17" s="136">
        <v>92269</v>
      </c>
      <c r="E17" s="136"/>
      <c r="F17" s="156" t="s">
        <v>525</v>
      </c>
      <c r="G17" s="136" t="s">
        <v>314</v>
      </c>
      <c r="H17" s="151">
        <v>2.16</v>
      </c>
      <c r="I17" s="151">
        <v>281</v>
      </c>
      <c r="J17" s="151">
        <f t="shared" si="1"/>
        <v>365.3</v>
      </c>
      <c r="K17" s="151">
        <f t="shared" si="2"/>
        <v>789.04800000000012</v>
      </c>
      <c r="L17" s="136"/>
      <c r="M17" s="101"/>
      <c r="O17" s="101"/>
    </row>
    <row r="18" spans="2:17">
      <c r="B18" s="136"/>
      <c r="C18" s="147" t="s">
        <v>663</v>
      </c>
      <c r="D18" s="136">
        <v>96543</v>
      </c>
      <c r="E18" s="136"/>
      <c r="F18" s="155" t="s">
        <v>489</v>
      </c>
      <c r="G18" s="136" t="s">
        <v>22</v>
      </c>
      <c r="H18" s="151">
        <f>76+221+0</f>
        <v>297</v>
      </c>
      <c r="I18" s="151">
        <v>11.5</v>
      </c>
      <c r="J18" s="151">
        <f t="shared" si="1"/>
        <v>14.950000000000001</v>
      </c>
      <c r="K18" s="151">
        <f t="shared" si="2"/>
        <v>4440.1500000000005</v>
      </c>
      <c r="L18" s="136"/>
      <c r="M18" s="101"/>
    </row>
    <row r="19" spans="2:17">
      <c r="B19" s="136"/>
      <c r="C19" s="147" t="s">
        <v>664</v>
      </c>
      <c r="D19" s="136">
        <v>94964</v>
      </c>
      <c r="E19" s="136"/>
      <c r="F19" s="156" t="s">
        <v>503</v>
      </c>
      <c r="G19" s="136" t="s">
        <v>314</v>
      </c>
      <c r="H19" s="151">
        <v>4.5999999999999996</v>
      </c>
      <c r="I19" s="151">
        <v>281</v>
      </c>
      <c r="J19" s="151">
        <f t="shared" si="1"/>
        <v>365.3</v>
      </c>
      <c r="K19" s="151">
        <f t="shared" si="2"/>
        <v>1680.3799999999999</v>
      </c>
      <c r="L19" s="136"/>
      <c r="M19" s="101"/>
    </row>
    <row r="20" spans="2:17">
      <c r="B20" s="136"/>
      <c r="C20" s="147"/>
      <c r="D20" s="136"/>
      <c r="E20" s="136"/>
      <c r="F20" s="156"/>
      <c r="G20" s="136"/>
      <c r="H20" s="151"/>
      <c r="I20" s="151"/>
      <c r="J20" s="151"/>
      <c r="K20" s="151"/>
      <c r="L20" s="136"/>
      <c r="M20" s="101"/>
    </row>
    <row r="21" spans="2:17">
      <c r="B21" s="136"/>
      <c r="C21" s="147">
        <v>2</v>
      </c>
      <c r="D21" s="136"/>
      <c r="E21" s="136"/>
      <c r="F21" s="156" t="s">
        <v>656</v>
      </c>
      <c r="G21" s="136"/>
      <c r="H21" s="151"/>
      <c r="I21" s="151"/>
      <c r="J21" s="151"/>
      <c r="K21" s="151"/>
      <c r="L21" s="137">
        <f>SUM(K23:K36)</f>
        <v>48196.784999999996</v>
      </c>
      <c r="M21" s="101"/>
    </row>
    <row r="22" spans="2:17">
      <c r="B22" s="136"/>
      <c r="C22" s="147"/>
      <c r="D22" s="136"/>
      <c r="E22" s="136"/>
      <c r="F22" s="156" t="s">
        <v>530</v>
      </c>
      <c r="G22" s="136"/>
      <c r="H22" s="151"/>
      <c r="I22" s="151"/>
      <c r="J22" s="151"/>
      <c r="K22" s="151"/>
      <c r="L22" s="136"/>
      <c r="M22" s="101"/>
    </row>
    <row r="23" spans="2:17">
      <c r="B23" s="136"/>
      <c r="C23" s="147" t="s">
        <v>699</v>
      </c>
      <c r="D23" s="136">
        <v>96543</v>
      </c>
      <c r="E23" s="136"/>
      <c r="F23" s="155" t="s">
        <v>531</v>
      </c>
      <c r="G23" s="136" t="s">
        <v>22</v>
      </c>
      <c r="H23" s="151">
        <v>944</v>
      </c>
      <c r="I23" s="151">
        <v>11.5</v>
      </c>
      <c r="J23" s="151">
        <f>I23*(1+$J$4)</f>
        <v>14.950000000000001</v>
      </c>
      <c r="K23" s="151">
        <f t="shared" ref="K23" si="3">J23*H23</f>
        <v>14112.800000000001</v>
      </c>
      <c r="L23" s="136"/>
      <c r="M23" s="101"/>
      <c r="Q23" s="101"/>
    </row>
    <row r="24" spans="2:17">
      <c r="B24" s="136"/>
      <c r="C24" s="147"/>
      <c r="D24" s="136"/>
      <c r="E24" s="136"/>
      <c r="F24" s="156" t="s">
        <v>532</v>
      </c>
      <c r="G24" s="136"/>
      <c r="H24" s="136"/>
      <c r="I24" s="151"/>
      <c r="J24" s="136"/>
      <c r="K24" s="136"/>
      <c r="L24" s="136"/>
      <c r="M24" s="101"/>
    </row>
    <row r="25" spans="2:17">
      <c r="B25" s="136"/>
      <c r="C25" s="147" t="s">
        <v>700</v>
      </c>
      <c r="D25" s="136">
        <v>92722</v>
      </c>
      <c r="E25" s="136"/>
      <c r="F25" s="156" t="s">
        <v>534</v>
      </c>
      <c r="G25" s="136" t="s">
        <v>314</v>
      </c>
      <c r="H25" s="151">
        <v>6.6</v>
      </c>
      <c r="I25" s="151">
        <v>300</v>
      </c>
      <c r="J25" s="151">
        <f>I25*(1+$J$4)</f>
        <v>390</v>
      </c>
      <c r="K25" s="151">
        <f t="shared" ref="K25" si="4">J25*H25</f>
        <v>2574</v>
      </c>
      <c r="L25" s="136"/>
      <c r="M25" s="101"/>
    </row>
    <row r="26" spans="2:17">
      <c r="B26" s="136"/>
      <c r="C26" s="147" t="s">
        <v>701</v>
      </c>
      <c r="D26" s="136">
        <v>96543</v>
      </c>
      <c r="E26" s="136"/>
      <c r="F26" s="155" t="s">
        <v>527</v>
      </c>
      <c r="G26" s="136" t="s">
        <v>22</v>
      </c>
      <c r="H26" s="151">
        <v>780</v>
      </c>
      <c r="I26" s="151">
        <v>11.5</v>
      </c>
      <c r="J26" s="151">
        <f>I26*(1+$J$4)</f>
        <v>14.950000000000001</v>
      </c>
      <c r="K26" s="151">
        <f t="shared" ref="K26:K27" si="5">J26*H26</f>
        <v>11661</v>
      </c>
      <c r="L26" s="136"/>
      <c r="M26" s="101"/>
    </row>
    <row r="27" spans="2:17">
      <c r="B27" s="136"/>
      <c r="C27" s="147" t="s">
        <v>702</v>
      </c>
      <c r="D27" s="136">
        <v>92722</v>
      </c>
      <c r="E27" s="136"/>
      <c r="F27" s="156" t="s">
        <v>533</v>
      </c>
      <c r="G27" s="136" t="s">
        <v>314</v>
      </c>
      <c r="H27" s="151">
        <v>12.3</v>
      </c>
      <c r="I27" s="151">
        <v>281</v>
      </c>
      <c r="J27" s="151">
        <f t="shared" ref="J27" si="6">I27*(1+$J$4)</f>
        <v>365.3</v>
      </c>
      <c r="K27" s="151">
        <f t="shared" si="5"/>
        <v>4493.1900000000005</v>
      </c>
      <c r="L27" s="136"/>
      <c r="M27" s="101"/>
      <c r="Q27" s="101"/>
    </row>
    <row r="28" spans="2:17">
      <c r="B28" s="136"/>
      <c r="C28" s="147" t="s">
        <v>703</v>
      </c>
      <c r="D28" s="136">
        <v>96543</v>
      </c>
      <c r="E28" s="136"/>
      <c r="F28" s="155" t="s">
        <v>589</v>
      </c>
      <c r="G28" s="136" t="s">
        <v>22</v>
      </c>
      <c r="H28" s="151">
        <f>42+86</f>
        <v>128</v>
      </c>
      <c r="I28" s="151">
        <v>11.5</v>
      </c>
      <c r="J28" s="151">
        <f>I28*(1+$J$4)</f>
        <v>14.950000000000001</v>
      </c>
      <c r="K28" s="151">
        <f t="shared" ref="K28:K29" si="7">J28*H28</f>
        <v>1913.6000000000001</v>
      </c>
      <c r="L28" s="136"/>
      <c r="M28" s="101"/>
      <c r="O28" s="101"/>
    </row>
    <row r="29" spans="2:17">
      <c r="B29" s="136"/>
      <c r="C29" s="147" t="s">
        <v>704</v>
      </c>
      <c r="D29" s="136">
        <v>92722</v>
      </c>
      <c r="E29" s="136"/>
      <c r="F29" s="156" t="s">
        <v>590</v>
      </c>
      <c r="G29" s="136" t="s">
        <v>314</v>
      </c>
      <c r="H29" s="151">
        <v>2.7</v>
      </c>
      <c r="I29" s="151">
        <v>281</v>
      </c>
      <c r="J29" s="151">
        <f t="shared" ref="J29" si="8">I29*(1+$J$4)</f>
        <v>365.3</v>
      </c>
      <c r="K29" s="151">
        <f t="shared" si="7"/>
        <v>986.31000000000006</v>
      </c>
      <c r="L29" s="136"/>
      <c r="M29" s="101"/>
      <c r="O29" s="101"/>
    </row>
    <row r="30" spans="2:17">
      <c r="B30" s="136"/>
      <c r="C30" s="147" t="s">
        <v>705</v>
      </c>
      <c r="D30" s="136">
        <v>96543</v>
      </c>
      <c r="E30" s="136"/>
      <c r="F30" s="155" t="s">
        <v>595</v>
      </c>
      <c r="G30" s="136" t="s">
        <v>22</v>
      </c>
      <c r="H30" s="151">
        <f>17+29</f>
        <v>46</v>
      </c>
      <c r="I30" s="151">
        <v>11.5</v>
      </c>
      <c r="J30" s="151">
        <f>I30*(1+$J$4)</f>
        <v>14.950000000000001</v>
      </c>
      <c r="K30" s="151">
        <f t="shared" ref="K30:K31" si="9">J30*H30</f>
        <v>687.7</v>
      </c>
      <c r="L30" s="136"/>
      <c r="M30" s="101"/>
      <c r="O30" s="101"/>
    </row>
    <row r="31" spans="2:17">
      <c r="B31" s="136"/>
      <c r="C31" s="147" t="s">
        <v>706</v>
      </c>
      <c r="D31" s="136">
        <v>92722</v>
      </c>
      <c r="E31" s="136"/>
      <c r="F31" s="156" t="s">
        <v>594</v>
      </c>
      <c r="G31" s="136" t="s">
        <v>314</v>
      </c>
      <c r="H31" s="151">
        <v>0.8</v>
      </c>
      <c r="I31" s="151">
        <v>281</v>
      </c>
      <c r="J31" s="151">
        <f t="shared" ref="J31" si="10">I31*(1+$J$4)</f>
        <v>365.3</v>
      </c>
      <c r="K31" s="151">
        <f t="shared" si="9"/>
        <v>292.24</v>
      </c>
      <c r="L31" s="136"/>
      <c r="M31" s="101"/>
      <c r="O31" s="101"/>
    </row>
    <row r="32" spans="2:17">
      <c r="B32" s="136"/>
      <c r="C32" s="147"/>
      <c r="D32" s="136"/>
      <c r="E32" s="136"/>
      <c r="F32" s="156"/>
      <c r="G32" s="136"/>
      <c r="H32" s="151"/>
      <c r="I32" s="151"/>
      <c r="J32" s="151"/>
      <c r="K32" s="151"/>
      <c r="L32" s="136"/>
      <c r="M32" s="101"/>
      <c r="O32" s="101"/>
    </row>
    <row r="33" spans="2:15">
      <c r="B33" s="136"/>
      <c r="C33" s="147"/>
      <c r="D33" s="136"/>
      <c r="E33" s="136"/>
      <c r="F33" s="156" t="s">
        <v>528</v>
      </c>
      <c r="G33" s="136"/>
      <c r="H33" s="136"/>
      <c r="I33" s="151"/>
      <c r="J33" s="151"/>
      <c r="K33" s="151"/>
      <c r="L33" s="136"/>
      <c r="M33" s="101"/>
    </row>
    <row r="34" spans="2:15" ht="48" customHeight="1">
      <c r="B34" s="136"/>
      <c r="C34" s="147" t="s">
        <v>707</v>
      </c>
      <c r="D34" s="136" t="s">
        <v>665</v>
      </c>
      <c r="E34" s="136"/>
      <c r="F34" s="156" t="s">
        <v>529</v>
      </c>
      <c r="G34" s="136" t="s">
        <v>317</v>
      </c>
      <c r="H34" s="151">
        <v>85</v>
      </c>
      <c r="I34" s="151">
        <v>72.09</v>
      </c>
      <c r="J34" s="151">
        <f t="shared" ref="J34" si="11">I34*(1+$J$4)</f>
        <v>93.717000000000013</v>
      </c>
      <c r="K34" s="151">
        <f t="shared" ref="K34" si="12">J34*H34</f>
        <v>7965.9450000000015</v>
      </c>
      <c r="L34" s="136"/>
      <c r="M34" s="101"/>
    </row>
    <row r="35" spans="2:15">
      <c r="B35" s="136"/>
      <c r="C35" s="147" t="s">
        <v>708</v>
      </c>
      <c r="D35" s="136"/>
      <c r="E35" s="136"/>
      <c r="F35" s="136"/>
      <c r="G35" s="136"/>
      <c r="H35" s="151"/>
      <c r="I35" s="151"/>
      <c r="J35" s="151"/>
      <c r="K35" s="151"/>
      <c r="L35" s="136"/>
      <c r="M35" s="101"/>
    </row>
    <row r="36" spans="2:15">
      <c r="B36" s="136"/>
      <c r="C36" s="147"/>
      <c r="D36" s="136">
        <v>92434</v>
      </c>
      <c r="E36" s="136"/>
      <c r="F36" s="154" t="s">
        <v>596</v>
      </c>
      <c r="G36" s="136" t="s">
        <v>317</v>
      </c>
      <c r="H36" s="151">
        <v>180</v>
      </c>
      <c r="I36" s="151">
        <v>15</v>
      </c>
      <c r="J36" s="151">
        <f t="shared" ref="J36" si="13">I36*(1+$J$4)</f>
        <v>19.5</v>
      </c>
      <c r="K36" s="151">
        <f>J36*H36</f>
        <v>3510</v>
      </c>
      <c r="L36" s="136"/>
      <c r="M36" s="101"/>
    </row>
    <row r="37" spans="2:15">
      <c r="B37" s="136"/>
      <c r="C37" s="147"/>
      <c r="D37" s="136"/>
      <c r="E37" s="136"/>
      <c r="F37" s="156"/>
      <c r="G37" s="136"/>
      <c r="H37" s="151"/>
      <c r="I37" s="151"/>
      <c r="J37" s="151"/>
      <c r="K37" s="151"/>
      <c r="L37" s="136"/>
      <c r="M37" s="101"/>
    </row>
    <row r="38" spans="2:15">
      <c r="B38" s="136"/>
      <c r="C38" s="147">
        <v>3</v>
      </c>
      <c r="D38" s="136"/>
      <c r="E38" s="136"/>
      <c r="F38" s="156" t="s">
        <v>2</v>
      </c>
      <c r="G38" s="136"/>
      <c r="H38" s="151"/>
      <c r="I38" s="151"/>
      <c r="J38" s="151"/>
      <c r="K38" s="151"/>
      <c r="L38" s="137">
        <f>SUM(K40:K48)</f>
        <v>40310.400000000001</v>
      </c>
      <c r="M38" s="101"/>
    </row>
    <row r="39" spans="2:15">
      <c r="B39" s="136"/>
      <c r="C39" s="147"/>
      <c r="D39" s="136"/>
      <c r="E39" s="136"/>
      <c r="F39" s="156" t="s">
        <v>535</v>
      </c>
      <c r="G39" s="136"/>
      <c r="H39" s="151"/>
      <c r="I39" s="156"/>
      <c r="J39" s="151"/>
      <c r="K39" s="151"/>
      <c r="L39" s="136"/>
      <c r="M39" s="101"/>
    </row>
    <row r="40" spans="2:15" ht="45" customHeight="1">
      <c r="B40" s="136"/>
      <c r="C40" s="147" t="s">
        <v>709</v>
      </c>
      <c r="D40" s="136">
        <v>92610</v>
      </c>
      <c r="E40" s="136"/>
      <c r="F40" s="156" t="s">
        <v>697</v>
      </c>
      <c r="G40" s="136" t="s">
        <v>480</v>
      </c>
      <c r="H40" s="151">
        <v>3</v>
      </c>
      <c r="I40" s="156">
        <v>2100</v>
      </c>
      <c r="J40" s="151">
        <f t="shared" ref="J40" si="14">I40*(1+$J$4)</f>
        <v>2730</v>
      </c>
      <c r="K40" s="151">
        <f t="shared" ref="K40" si="15">J40*H40</f>
        <v>8190</v>
      </c>
      <c r="L40" s="136"/>
      <c r="M40" s="101"/>
    </row>
    <row r="41" spans="2:15">
      <c r="B41" s="136"/>
      <c r="C41" s="147"/>
      <c r="D41" s="136"/>
      <c r="E41" s="136"/>
      <c r="F41" s="156" t="s">
        <v>536</v>
      </c>
      <c r="G41" s="136"/>
      <c r="H41" s="151"/>
      <c r="I41" s="156"/>
      <c r="J41" s="151"/>
      <c r="K41" s="151"/>
      <c r="L41" s="136"/>
      <c r="M41" s="101"/>
    </row>
    <row r="42" spans="2:15" ht="38.25">
      <c r="B42" s="136"/>
      <c r="C42" s="147" t="s">
        <v>6</v>
      </c>
      <c r="D42" s="136">
        <v>92614</v>
      </c>
      <c r="E42" s="136"/>
      <c r="F42" s="156" t="s">
        <v>696</v>
      </c>
      <c r="G42" s="136" t="s">
        <v>480</v>
      </c>
      <c r="H42" s="151">
        <v>3</v>
      </c>
      <c r="I42" s="151">
        <v>3400</v>
      </c>
      <c r="J42" s="151">
        <f t="shared" ref="J42" si="16">I42*(1+$J$4)</f>
        <v>4420</v>
      </c>
      <c r="K42" s="151">
        <f t="shared" ref="K42" si="17">J42*H42</f>
        <v>13260</v>
      </c>
      <c r="L42" s="136"/>
      <c r="M42" s="101"/>
    </row>
    <row r="43" spans="2:15">
      <c r="B43" s="136"/>
      <c r="C43" s="147"/>
      <c r="D43" s="136"/>
      <c r="E43" s="136"/>
      <c r="F43" s="156" t="s">
        <v>591</v>
      </c>
      <c r="G43" s="136"/>
      <c r="H43" s="151"/>
      <c r="I43" s="151"/>
      <c r="J43" s="151"/>
      <c r="K43" s="151"/>
      <c r="L43" s="136"/>
      <c r="M43" s="101"/>
    </row>
    <row r="44" spans="2:15" ht="25.5">
      <c r="B44" s="136"/>
      <c r="C44" s="147" t="s">
        <v>710</v>
      </c>
      <c r="D44" s="136">
        <v>94216</v>
      </c>
      <c r="E44" s="136"/>
      <c r="F44" s="157" t="s">
        <v>687</v>
      </c>
      <c r="G44" s="136"/>
      <c r="H44" s="151"/>
      <c r="I44" s="151"/>
      <c r="J44" s="151"/>
      <c r="K44" s="151"/>
      <c r="L44" s="136"/>
      <c r="M44" s="101"/>
    </row>
    <row r="45" spans="2:15" ht="25.5">
      <c r="B45" s="136"/>
      <c r="C45" s="147" t="s">
        <v>711</v>
      </c>
      <c r="D45" s="136">
        <v>94216</v>
      </c>
      <c r="E45" s="136"/>
      <c r="F45" s="157" t="s">
        <v>686</v>
      </c>
      <c r="G45" s="136"/>
      <c r="H45" s="151"/>
      <c r="I45" s="151"/>
      <c r="J45" s="151"/>
      <c r="K45" s="151"/>
      <c r="L45" s="136"/>
      <c r="M45" s="101"/>
      <c r="N45" s="103"/>
      <c r="O45" s="103"/>
    </row>
    <row r="46" spans="2:15" ht="51">
      <c r="B46" s="136"/>
      <c r="C46" s="147" t="s">
        <v>322</v>
      </c>
      <c r="D46" s="136"/>
      <c r="E46" s="136"/>
      <c r="F46" s="157" t="s">
        <v>685</v>
      </c>
      <c r="G46" s="136" t="s">
        <v>317</v>
      </c>
      <c r="H46" s="151">
        <f>318+150</f>
        <v>468</v>
      </c>
      <c r="I46" s="151">
        <v>31</v>
      </c>
      <c r="J46" s="151">
        <f t="shared" ref="J46" si="18">I46*(1+$J$4)</f>
        <v>40.300000000000004</v>
      </c>
      <c r="K46" s="151">
        <f t="shared" ref="K46" si="19">J46*H46</f>
        <v>18860.400000000001</v>
      </c>
      <c r="L46" s="136"/>
      <c r="M46" s="101"/>
      <c r="N46" s="103"/>
      <c r="O46" s="103"/>
    </row>
    <row r="47" spans="2:15">
      <c r="B47" s="136"/>
      <c r="C47" s="147"/>
      <c r="D47" s="136"/>
      <c r="E47" s="136"/>
      <c r="F47" s="157"/>
      <c r="G47" s="136"/>
      <c r="H47" s="151"/>
      <c r="I47" s="151"/>
      <c r="J47" s="151"/>
      <c r="K47" s="151"/>
      <c r="L47" s="136"/>
      <c r="M47" s="101"/>
      <c r="N47" s="103"/>
      <c r="O47" s="103"/>
    </row>
    <row r="48" spans="2:15">
      <c r="B48" s="136"/>
      <c r="C48" s="147"/>
      <c r="D48" s="136"/>
      <c r="E48" s="136"/>
      <c r="F48" s="157"/>
      <c r="G48" s="136"/>
      <c r="H48" s="151"/>
      <c r="I48" s="151"/>
      <c r="J48" s="151"/>
      <c r="K48" s="151"/>
      <c r="L48" s="136"/>
      <c r="M48" s="101"/>
      <c r="N48" s="103"/>
      <c r="O48" s="103"/>
    </row>
    <row r="49" spans="2:15">
      <c r="B49" s="136"/>
      <c r="C49" s="147"/>
      <c r="D49" s="136"/>
      <c r="E49" s="136"/>
      <c r="F49" s="156"/>
      <c r="G49" s="136"/>
      <c r="H49" s="151"/>
      <c r="I49" s="151"/>
      <c r="J49" s="151"/>
      <c r="K49" s="151"/>
      <c r="L49" s="136"/>
      <c r="M49" s="101"/>
      <c r="N49" s="101"/>
    </row>
    <row r="50" spans="2:15">
      <c r="B50" s="136"/>
      <c r="C50" s="147">
        <v>4</v>
      </c>
      <c r="D50" s="136"/>
      <c r="E50" s="136"/>
      <c r="F50" s="157" t="s">
        <v>676</v>
      </c>
      <c r="G50" s="136"/>
      <c r="H50" s="151"/>
      <c r="I50" s="151"/>
      <c r="J50" s="151"/>
      <c r="K50" s="151"/>
      <c r="L50" s="137">
        <f>SUM(K51:K54)</f>
        <v>33280</v>
      </c>
      <c r="M50" s="101"/>
      <c r="O50" s="101"/>
    </row>
    <row r="51" spans="2:15" ht="38.25">
      <c r="B51" s="136"/>
      <c r="C51" s="147" t="s">
        <v>712</v>
      </c>
      <c r="D51" s="136">
        <v>89462</v>
      </c>
      <c r="E51" s="136"/>
      <c r="F51" s="156" t="s">
        <v>504</v>
      </c>
      <c r="G51" s="136" t="s">
        <v>317</v>
      </c>
      <c r="H51" s="151">
        <v>400</v>
      </c>
      <c r="I51" s="151">
        <v>64</v>
      </c>
      <c r="J51" s="151">
        <f t="shared" ref="J51" si="20">I51*(1+$J$4)</f>
        <v>83.2</v>
      </c>
      <c r="K51" s="151">
        <f t="shared" ref="K51" si="21">J51*H51</f>
        <v>33280</v>
      </c>
      <c r="L51" s="136"/>
      <c r="M51" s="101"/>
    </row>
    <row r="52" spans="2:15">
      <c r="B52" s="136"/>
      <c r="C52" s="147"/>
      <c r="D52" s="136"/>
      <c r="E52" s="136"/>
      <c r="F52" s="156"/>
      <c r="G52" s="136"/>
      <c r="H52" s="151"/>
      <c r="I52" s="151"/>
      <c r="J52" s="151"/>
      <c r="K52" s="151"/>
      <c r="L52" s="136"/>
      <c r="M52" s="101"/>
    </row>
    <row r="53" spans="2:15">
      <c r="B53" s="136"/>
      <c r="C53" s="147"/>
      <c r="D53" s="136"/>
      <c r="E53" s="136"/>
      <c r="F53" s="156" t="s">
        <v>599</v>
      </c>
      <c r="G53" s="136"/>
      <c r="H53" s="151"/>
      <c r="I53" s="151"/>
      <c r="J53" s="151">
        <f t="shared" ref="J53:J54" si="22">I53*(1+$J$4)</f>
        <v>0</v>
      </c>
      <c r="K53" s="151">
        <f t="shared" ref="K53:K54" si="23">J53*H53</f>
        <v>0</v>
      </c>
      <c r="L53" s="136"/>
      <c r="M53" s="101"/>
    </row>
    <row r="54" spans="2:15" ht="38.25">
      <c r="B54" s="136"/>
      <c r="C54" s="147" t="s">
        <v>7</v>
      </c>
      <c r="D54" s="136">
        <v>96358</v>
      </c>
      <c r="E54" s="136"/>
      <c r="F54" s="156" t="s">
        <v>592</v>
      </c>
      <c r="G54" s="136"/>
      <c r="H54" s="151">
        <v>0</v>
      </c>
      <c r="I54" s="151">
        <v>76.38</v>
      </c>
      <c r="J54" s="151">
        <f t="shared" si="22"/>
        <v>99.293999999999997</v>
      </c>
      <c r="K54" s="151">
        <f t="shared" si="23"/>
        <v>0</v>
      </c>
      <c r="L54" s="136"/>
      <c r="M54" s="101"/>
    </row>
    <row r="55" spans="2:15">
      <c r="B55" s="136"/>
      <c r="C55" s="147"/>
      <c r="D55" s="136"/>
      <c r="E55" s="136"/>
      <c r="F55" s="156"/>
      <c r="G55" s="136"/>
      <c r="H55" s="151"/>
      <c r="I55" s="151"/>
      <c r="J55" s="151"/>
      <c r="K55" s="151"/>
      <c r="L55" s="136"/>
      <c r="M55" s="101"/>
    </row>
    <row r="56" spans="2:15">
      <c r="B56" s="136"/>
      <c r="C56" s="147"/>
      <c r="D56" s="136"/>
      <c r="E56" s="136"/>
      <c r="F56" s="156"/>
      <c r="G56" s="136"/>
      <c r="H56" s="151"/>
      <c r="I56" s="151"/>
      <c r="J56" s="151"/>
      <c r="K56" s="151"/>
      <c r="L56" s="136"/>
      <c r="M56" s="101"/>
    </row>
    <row r="57" spans="2:15">
      <c r="B57" s="136"/>
      <c r="C57" s="147">
        <v>5</v>
      </c>
      <c r="D57" s="136"/>
      <c r="E57" s="136"/>
      <c r="F57" s="156" t="s">
        <v>677</v>
      </c>
      <c r="G57" s="136"/>
      <c r="H57" s="151"/>
      <c r="I57" s="151"/>
      <c r="J57" s="151"/>
      <c r="K57" s="151"/>
      <c r="L57" s="137">
        <f>SUM(K58:K64)</f>
        <v>43460.131000000001</v>
      </c>
      <c r="M57" s="101"/>
    </row>
    <row r="58" spans="2:15" ht="25.5">
      <c r="B58" s="136"/>
      <c r="C58" s="147" t="s">
        <v>713</v>
      </c>
      <c r="D58" s="136">
        <v>95241</v>
      </c>
      <c r="E58" s="136"/>
      <c r="F58" s="156" t="s">
        <v>678</v>
      </c>
      <c r="G58" s="136" t="s">
        <v>317</v>
      </c>
      <c r="H58" s="151">
        <v>174</v>
      </c>
      <c r="I58" s="151">
        <v>20.48</v>
      </c>
      <c r="J58" s="151">
        <f t="shared" ref="J58:J59" si="24">I58*(1+$J$4)</f>
        <v>26.624000000000002</v>
      </c>
      <c r="K58" s="151">
        <f t="shared" ref="K58:K59" si="25">J58*H58</f>
        <v>4632.576</v>
      </c>
      <c r="L58" s="136"/>
      <c r="M58" s="101"/>
    </row>
    <row r="59" spans="2:15" ht="38.25">
      <c r="B59" s="136"/>
      <c r="C59" s="147" t="s">
        <v>714</v>
      </c>
      <c r="D59" s="136">
        <v>87620</v>
      </c>
      <c r="E59" s="136"/>
      <c r="F59" s="156" t="s">
        <v>679</v>
      </c>
      <c r="G59" s="136" t="s">
        <v>317</v>
      </c>
      <c r="H59" s="151">
        <v>174</v>
      </c>
      <c r="I59" s="151">
        <v>25.1</v>
      </c>
      <c r="J59" s="151">
        <f t="shared" si="24"/>
        <v>32.630000000000003</v>
      </c>
      <c r="K59" s="151">
        <f t="shared" si="25"/>
        <v>5677.6200000000008</v>
      </c>
      <c r="L59" s="136"/>
      <c r="M59" s="101"/>
    </row>
    <row r="60" spans="2:15" ht="51">
      <c r="B60" s="136"/>
      <c r="C60" s="147" t="s">
        <v>715</v>
      </c>
      <c r="D60" s="136">
        <v>87620</v>
      </c>
      <c r="E60" s="136"/>
      <c r="F60" s="156" t="s">
        <v>680</v>
      </c>
      <c r="G60" s="136" t="s">
        <v>317</v>
      </c>
      <c r="H60" s="151">
        <v>110</v>
      </c>
      <c r="I60" s="151">
        <v>25.1</v>
      </c>
      <c r="J60" s="151">
        <f t="shared" ref="J60" si="26">I60*(1+$J$4)</f>
        <v>32.630000000000003</v>
      </c>
      <c r="K60" s="151">
        <f t="shared" ref="K60" si="27">J60*H60</f>
        <v>3589.3</v>
      </c>
      <c r="L60" s="136"/>
      <c r="M60" s="101"/>
    </row>
    <row r="61" spans="2:15">
      <c r="B61" s="136"/>
      <c r="C61" s="147"/>
      <c r="D61" s="136"/>
      <c r="E61" s="136"/>
      <c r="F61" s="156"/>
      <c r="G61" s="136"/>
      <c r="H61" s="151"/>
      <c r="I61" s="151"/>
      <c r="J61" s="151"/>
      <c r="K61" s="151"/>
      <c r="L61" s="136"/>
      <c r="M61" s="101"/>
    </row>
    <row r="62" spans="2:15" ht="51">
      <c r="B62" s="136"/>
      <c r="C62" s="147" t="s">
        <v>716</v>
      </c>
      <c r="D62" s="136"/>
      <c r="E62" s="136"/>
      <c r="F62" s="156" t="s">
        <v>600</v>
      </c>
      <c r="G62" s="136"/>
      <c r="H62" s="151"/>
      <c r="I62" s="151"/>
      <c r="J62" s="151"/>
      <c r="K62" s="151"/>
      <c r="L62" s="136"/>
      <c r="M62" s="101"/>
      <c r="O62" s="101"/>
    </row>
    <row r="63" spans="2:15">
      <c r="B63" s="136"/>
      <c r="C63" s="147" t="s">
        <v>717</v>
      </c>
      <c r="D63" s="136" t="s">
        <v>666</v>
      </c>
      <c r="E63" s="136"/>
      <c r="F63" s="156" t="s">
        <v>601</v>
      </c>
      <c r="G63" s="136" t="s">
        <v>317</v>
      </c>
      <c r="H63" s="151">
        <v>260</v>
      </c>
      <c r="I63" s="151">
        <v>65.91</v>
      </c>
      <c r="J63" s="151">
        <f t="shared" ref="J63:J64" si="28">I63*(1+$J$4)</f>
        <v>85.682999999999993</v>
      </c>
      <c r="K63" s="151">
        <f t="shared" ref="K63:K64" si="29">J63*H63</f>
        <v>22277.579999999998</v>
      </c>
      <c r="L63" s="136"/>
      <c r="M63" s="101"/>
    </row>
    <row r="64" spans="2:15">
      <c r="B64" s="136"/>
      <c r="C64" s="147" t="s">
        <v>718</v>
      </c>
      <c r="D64" s="136" t="s">
        <v>666</v>
      </c>
      <c r="E64" s="136"/>
      <c r="F64" s="156" t="s">
        <v>602</v>
      </c>
      <c r="G64" s="136" t="s">
        <v>317</v>
      </c>
      <c r="H64" s="151">
        <v>85</v>
      </c>
      <c r="I64" s="151">
        <v>65.91</v>
      </c>
      <c r="J64" s="151">
        <f t="shared" si="28"/>
        <v>85.682999999999993</v>
      </c>
      <c r="K64" s="151">
        <f t="shared" si="29"/>
        <v>7283.0549999999994</v>
      </c>
      <c r="L64" s="136"/>
      <c r="M64" s="101"/>
    </row>
    <row r="65" spans="2:14">
      <c r="B65" s="136"/>
      <c r="C65" s="147"/>
      <c r="D65" s="136"/>
      <c r="E65" s="136"/>
      <c r="F65" s="156"/>
      <c r="G65" s="136"/>
      <c r="H65" s="151"/>
      <c r="I65" s="151"/>
      <c r="J65" s="151"/>
      <c r="K65" s="151"/>
      <c r="L65" s="136"/>
      <c r="M65" s="101"/>
    </row>
    <row r="66" spans="2:14">
      <c r="B66" s="136"/>
      <c r="C66" s="147">
        <v>6</v>
      </c>
      <c r="D66" s="136"/>
      <c r="E66" s="136"/>
      <c r="F66" s="156" t="s">
        <v>681</v>
      </c>
      <c r="G66" s="136"/>
      <c r="H66" s="151"/>
      <c r="I66" s="151"/>
      <c r="J66" s="151"/>
      <c r="K66" s="151"/>
      <c r="L66" s="137">
        <f>SUM(K68:K75)</f>
        <v>4907.1100000000006</v>
      </c>
      <c r="M66" s="101"/>
    </row>
    <row r="67" spans="2:14">
      <c r="B67" s="136"/>
      <c r="C67" s="147"/>
      <c r="D67" s="136"/>
      <c r="E67" s="136"/>
      <c r="F67" s="156" t="s">
        <v>639</v>
      </c>
      <c r="G67" s="136"/>
      <c r="H67" s="151"/>
      <c r="I67" s="151"/>
      <c r="J67" s="151"/>
      <c r="K67" s="151"/>
      <c r="L67" s="136"/>
      <c r="M67" s="101"/>
    </row>
    <row r="68" spans="2:14" ht="38.25">
      <c r="B68" s="136"/>
      <c r="C68" s="147" t="s">
        <v>719</v>
      </c>
      <c r="D68" s="136">
        <v>87884</v>
      </c>
      <c r="E68" s="136"/>
      <c r="F68" s="156" t="s">
        <v>641</v>
      </c>
      <c r="G68" s="136" t="s">
        <v>317</v>
      </c>
      <c r="H68" s="151">
        <v>85</v>
      </c>
      <c r="I68" s="151">
        <v>7.15</v>
      </c>
      <c r="J68" s="151">
        <f t="shared" ref="J68:J69" si="30">I68*(1+$J$4)</f>
        <v>9.2949999999999999</v>
      </c>
      <c r="K68" s="151">
        <f t="shared" ref="K68:K69" si="31">J68*H68</f>
        <v>790.07500000000005</v>
      </c>
      <c r="L68" s="136"/>
      <c r="M68" s="101"/>
    </row>
    <row r="69" spans="2:14" ht="25.5">
      <c r="B69" s="136"/>
      <c r="C69" s="147" t="s">
        <v>720</v>
      </c>
      <c r="D69" s="136">
        <v>87529</v>
      </c>
      <c r="E69" s="136"/>
      <c r="F69" s="156" t="s">
        <v>640</v>
      </c>
      <c r="G69" s="136" t="s">
        <v>317</v>
      </c>
      <c r="H69" s="151">
        <v>85</v>
      </c>
      <c r="I69" s="151">
        <v>25.23</v>
      </c>
      <c r="J69" s="151">
        <f t="shared" si="30"/>
        <v>32.798999999999999</v>
      </c>
      <c r="K69" s="151">
        <f t="shared" si="31"/>
        <v>2787.915</v>
      </c>
      <c r="L69" s="136"/>
      <c r="M69" s="101"/>
    </row>
    <row r="70" spans="2:14">
      <c r="B70" s="136"/>
      <c r="C70" s="147"/>
      <c r="D70" s="136"/>
      <c r="E70" s="136"/>
      <c r="F70" s="136"/>
      <c r="G70" s="136"/>
      <c r="H70" s="151"/>
      <c r="I70" s="151"/>
      <c r="J70" s="151"/>
      <c r="K70" s="151"/>
      <c r="L70" s="136"/>
      <c r="M70" s="101"/>
    </row>
    <row r="71" spans="2:14">
      <c r="B71" s="136"/>
      <c r="C71" s="147"/>
      <c r="D71" s="136"/>
      <c r="E71" s="136"/>
      <c r="F71" s="156" t="s">
        <v>649</v>
      </c>
      <c r="G71" s="136"/>
      <c r="H71" s="151"/>
      <c r="I71" s="151"/>
      <c r="J71" s="151"/>
      <c r="K71" s="151"/>
      <c r="L71" s="136"/>
      <c r="M71" s="101"/>
    </row>
    <row r="72" spans="2:14" ht="25.5">
      <c r="B72" s="136"/>
      <c r="C72" s="147"/>
      <c r="D72" s="136"/>
      <c r="E72" s="136"/>
      <c r="F72" s="156" t="s">
        <v>648</v>
      </c>
      <c r="G72" s="136"/>
      <c r="H72" s="151"/>
      <c r="I72" s="151"/>
      <c r="J72" s="151"/>
      <c r="K72" s="151"/>
      <c r="L72" s="136"/>
      <c r="M72" s="101"/>
    </row>
    <row r="73" spans="2:14">
      <c r="B73" s="136"/>
      <c r="C73" s="147" t="s">
        <v>9</v>
      </c>
      <c r="D73" s="136">
        <v>89046</v>
      </c>
      <c r="E73" s="136"/>
      <c r="F73" s="156" t="s">
        <v>650</v>
      </c>
      <c r="G73" s="136" t="s">
        <v>317</v>
      </c>
      <c r="H73" s="151">
        <f>1.6*1.5</f>
        <v>2.4000000000000004</v>
      </c>
      <c r="I73" s="151">
        <v>32</v>
      </c>
      <c r="J73" s="151">
        <f t="shared" ref="J73:J75" si="32">I73*(1+$J$4)</f>
        <v>41.6</v>
      </c>
      <c r="K73" s="151">
        <f t="shared" ref="K73:K75" si="33">J73*H73</f>
        <v>99.840000000000018</v>
      </c>
      <c r="L73" s="136"/>
      <c r="M73" s="101"/>
    </row>
    <row r="74" spans="2:14">
      <c r="B74" s="136"/>
      <c r="C74" s="147" t="s">
        <v>721</v>
      </c>
      <c r="D74" s="136">
        <v>89046</v>
      </c>
      <c r="E74" s="136"/>
      <c r="F74" s="156" t="s">
        <v>652</v>
      </c>
      <c r="G74" s="136" t="s">
        <v>317</v>
      </c>
      <c r="H74" s="151">
        <f>2*7*1.5</f>
        <v>21</v>
      </c>
      <c r="I74" s="151">
        <v>32</v>
      </c>
      <c r="J74" s="151">
        <f t="shared" si="32"/>
        <v>41.6</v>
      </c>
      <c r="K74" s="151">
        <f t="shared" si="33"/>
        <v>873.6</v>
      </c>
      <c r="L74" s="136"/>
      <c r="M74" s="101"/>
    </row>
    <row r="75" spans="2:14">
      <c r="B75" s="136"/>
      <c r="C75" s="147" t="s">
        <v>722</v>
      </c>
      <c r="D75" s="136">
        <v>89046</v>
      </c>
      <c r="E75" s="136"/>
      <c r="F75" s="156" t="s">
        <v>651</v>
      </c>
      <c r="G75" s="136" t="s">
        <v>317</v>
      </c>
      <c r="H75" s="151">
        <f>5.7*1.5</f>
        <v>8.5500000000000007</v>
      </c>
      <c r="I75" s="151">
        <v>32</v>
      </c>
      <c r="J75" s="151">
        <f t="shared" si="32"/>
        <v>41.6</v>
      </c>
      <c r="K75" s="151">
        <f t="shared" si="33"/>
        <v>355.68000000000006</v>
      </c>
      <c r="L75" s="136"/>
      <c r="M75" s="101"/>
    </row>
    <row r="76" spans="2:14">
      <c r="B76" s="136"/>
      <c r="C76" s="147"/>
      <c r="D76" s="136"/>
      <c r="E76" s="136"/>
      <c r="F76" s="156"/>
      <c r="G76" s="136"/>
      <c r="H76" s="151"/>
      <c r="I76" s="151"/>
      <c r="J76" s="151"/>
      <c r="K76" s="151"/>
      <c r="L76" s="136"/>
      <c r="M76" s="101"/>
    </row>
    <row r="77" spans="2:14">
      <c r="B77" s="136"/>
      <c r="C77" s="147"/>
      <c r="D77" s="136"/>
      <c r="E77" s="136"/>
      <c r="F77" s="156"/>
      <c r="G77" s="136"/>
      <c r="H77" s="151"/>
      <c r="I77" s="151"/>
      <c r="J77" s="151"/>
      <c r="K77" s="151"/>
      <c r="L77" s="136"/>
      <c r="M77" s="101"/>
    </row>
    <row r="78" spans="2:14">
      <c r="B78" s="136"/>
      <c r="C78" s="147">
        <v>7</v>
      </c>
      <c r="D78" s="136"/>
      <c r="E78" s="136"/>
      <c r="F78" s="156" t="s">
        <v>682</v>
      </c>
      <c r="G78" s="136"/>
      <c r="H78" s="151"/>
      <c r="I78" s="151"/>
      <c r="J78" s="151"/>
      <c r="K78" s="151"/>
      <c r="L78" s="137">
        <f>SUM(K79:K80)</f>
        <v>6825</v>
      </c>
      <c r="M78" s="101"/>
    </row>
    <row r="79" spans="2:14" ht="38.25">
      <c r="B79" s="136"/>
      <c r="C79" s="147"/>
      <c r="D79" s="136"/>
      <c r="E79" s="136"/>
      <c r="F79" s="156" t="s">
        <v>593</v>
      </c>
      <c r="G79" s="136"/>
      <c r="H79" s="151"/>
      <c r="I79" s="151"/>
      <c r="J79" s="151"/>
      <c r="K79" s="151"/>
      <c r="L79" s="136"/>
      <c r="M79" s="101"/>
    </row>
    <row r="80" spans="2:14" ht="25.5">
      <c r="B80" s="136"/>
      <c r="C80" s="147" t="s">
        <v>326</v>
      </c>
      <c r="D80" s="136">
        <v>94993</v>
      </c>
      <c r="E80" s="136"/>
      <c r="F80" s="156" t="s">
        <v>698</v>
      </c>
      <c r="G80" s="136" t="s">
        <v>317</v>
      </c>
      <c r="H80" s="151">
        <v>150</v>
      </c>
      <c r="I80" s="151">
        <v>35</v>
      </c>
      <c r="J80" s="151">
        <f t="shared" ref="J80" si="34">I80*(1+$J$4)</f>
        <v>45.5</v>
      </c>
      <c r="K80" s="151">
        <f t="shared" ref="K80" si="35">J80*H80</f>
        <v>6825</v>
      </c>
      <c r="L80" s="136"/>
      <c r="M80" s="101"/>
      <c r="N80" s="101"/>
    </row>
    <row r="81" spans="2:14">
      <c r="B81" s="136"/>
      <c r="C81" s="147"/>
      <c r="D81" s="136"/>
      <c r="E81" s="136"/>
      <c r="F81" s="156"/>
      <c r="G81" s="136"/>
      <c r="H81" s="151"/>
      <c r="I81" s="151"/>
      <c r="J81" s="151"/>
      <c r="K81" s="151"/>
      <c r="L81" s="136"/>
      <c r="M81" s="101"/>
    </row>
    <row r="82" spans="2:14">
      <c r="B82" s="136"/>
      <c r="C82" s="147">
        <v>8</v>
      </c>
      <c r="D82" s="136"/>
      <c r="E82" s="136"/>
      <c r="F82" s="156" t="s">
        <v>668</v>
      </c>
      <c r="G82" s="136"/>
      <c r="H82" s="136"/>
      <c r="I82" s="151"/>
      <c r="J82" s="151"/>
      <c r="K82" s="151"/>
      <c r="L82" s="137">
        <f>SUM(K84:K86)</f>
        <v>20756.45</v>
      </c>
      <c r="M82" s="101"/>
    </row>
    <row r="83" spans="2:14" ht="25.5">
      <c r="B83" s="136"/>
      <c r="C83" s="147"/>
      <c r="D83" s="136"/>
      <c r="E83" s="136"/>
      <c r="F83" s="156" t="s">
        <v>695</v>
      </c>
      <c r="G83" s="136"/>
      <c r="H83" s="136"/>
      <c r="I83" s="136"/>
      <c r="J83" s="136"/>
      <c r="K83" s="136"/>
      <c r="L83" s="136"/>
      <c r="M83" s="101"/>
      <c r="N83" s="101"/>
    </row>
    <row r="84" spans="2:14">
      <c r="B84" s="136"/>
      <c r="C84" s="147" t="s">
        <v>723</v>
      </c>
      <c r="D84" s="136">
        <v>96110</v>
      </c>
      <c r="E84" s="136"/>
      <c r="F84" s="156" t="s">
        <v>688</v>
      </c>
      <c r="G84" s="136" t="s">
        <v>317</v>
      </c>
      <c r="H84" s="151">
        <v>75.3</v>
      </c>
      <c r="I84" s="151">
        <v>55</v>
      </c>
      <c r="J84" s="151">
        <f t="shared" ref="J84" si="36">I84*(1+$J$4)</f>
        <v>71.5</v>
      </c>
      <c r="K84" s="151">
        <f t="shared" ref="K84" si="37">J84*H84</f>
        <v>5383.95</v>
      </c>
      <c r="L84" s="136"/>
      <c r="M84" s="101"/>
    </row>
    <row r="85" spans="2:14">
      <c r="B85" s="136"/>
      <c r="C85" s="147" t="s">
        <v>724</v>
      </c>
      <c r="D85" s="136">
        <v>96110</v>
      </c>
      <c r="E85" s="136"/>
      <c r="F85" s="156" t="s">
        <v>689</v>
      </c>
      <c r="G85" s="136" t="s">
        <v>317</v>
      </c>
      <c r="H85" s="151">
        <v>195</v>
      </c>
      <c r="I85" s="151">
        <v>55</v>
      </c>
      <c r="J85" s="151">
        <f t="shared" ref="J85" si="38">I85*(1+$J$4)</f>
        <v>71.5</v>
      </c>
      <c r="K85" s="151">
        <f t="shared" ref="K85" si="39">J85*H85</f>
        <v>13942.5</v>
      </c>
      <c r="L85" s="136"/>
      <c r="M85" s="101"/>
    </row>
    <row r="86" spans="2:14">
      <c r="B86" s="136"/>
      <c r="C86" s="147" t="s">
        <v>725</v>
      </c>
      <c r="D86" s="136">
        <v>96110</v>
      </c>
      <c r="E86" s="136"/>
      <c r="F86" s="156" t="s">
        <v>690</v>
      </c>
      <c r="G86" s="136" t="s">
        <v>317</v>
      </c>
      <c r="H86" s="151">
        <v>20</v>
      </c>
      <c r="I86" s="151">
        <v>55</v>
      </c>
      <c r="J86" s="151">
        <f t="shared" ref="J86" si="40">I86*(1+$J$4)</f>
        <v>71.5</v>
      </c>
      <c r="K86" s="151">
        <f t="shared" ref="K86" si="41">J86*H86</f>
        <v>1430</v>
      </c>
      <c r="L86" s="136"/>
      <c r="M86" s="101"/>
    </row>
    <row r="87" spans="2:14">
      <c r="B87" s="136"/>
      <c r="C87" s="147"/>
      <c r="D87" s="136"/>
      <c r="E87" s="136"/>
      <c r="F87" s="156"/>
      <c r="G87" s="136"/>
      <c r="H87" s="151"/>
      <c r="I87" s="151"/>
      <c r="J87" s="151"/>
      <c r="K87" s="151"/>
      <c r="L87" s="136"/>
      <c r="M87" s="101"/>
    </row>
    <row r="88" spans="2:14">
      <c r="B88" s="136"/>
      <c r="C88" s="147">
        <v>9</v>
      </c>
      <c r="D88" s="136"/>
      <c r="E88" s="136"/>
      <c r="F88" s="156" t="s">
        <v>730</v>
      </c>
      <c r="G88" s="136"/>
      <c r="H88" s="151"/>
      <c r="I88" s="151"/>
      <c r="J88" s="151"/>
      <c r="K88" s="151"/>
      <c r="L88" s="137">
        <f>SUM(K89:K112)</f>
        <v>29291.5272</v>
      </c>
      <c r="M88" s="101"/>
    </row>
    <row r="89" spans="2:14">
      <c r="B89" s="136"/>
      <c r="C89" s="147"/>
      <c r="D89" s="136"/>
      <c r="E89" s="136"/>
      <c r="F89" s="156" t="s">
        <v>572</v>
      </c>
      <c r="G89" s="136"/>
      <c r="H89" s="151"/>
      <c r="I89" s="151"/>
      <c r="J89" s="151"/>
      <c r="K89" s="151"/>
      <c r="L89" s="136"/>
      <c r="M89" s="101"/>
    </row>
    <row r="90" spans="2:14" ht="25.5">
      <c r="B90" s="136"/>
      <c r="C90" s="147" t="s">
        <v>726</v>
      </c>
      <c r="D90" s="136">
        <v>90802</v>
      </c>
      <c r="E90" s="136"/>
      <c r="F90" s="156" t="s">
        <v>575</v>
      </c>
      <c r="G90" s="136" t="s">
        <v>571</v>
      </c>
      <c r="H90" s="151">
        <v>4</v>
      </c>
      <c r="I90" s="151">
        <v>203.1</v>
      </c>
      <c r="J90" s="151">
        <f t="shared" ref="J90" si="42">I90*(1+$J$4)</f>
        <v>264.03000000000003</v>
      </c>
      <c r="K90" s="151">
        <f t="shared" ref="K90" si="43">J90*H90</f>
        <v>1056.1200000000001</v>
      </c>
      <c r="L90" s="136"/>
      <c r="M90" s="101"/>
      <c r="N90" s="103"/>
    </row>
    <row r="91" spans="2:14" ht="38.25">
      <c r="B91" s="136"/>
      <c r="C91" s="147" t="s">
        <v>727</v>
      </c>
      <c r="D91" s="136" t="s">
        <v>576</v>
      </c>
      <c r="E91" s="136"/>
      <c r="F91" s="156" t="s">
        <v>574</v>
      </c>
      <c r="G91" s="136" t="s">
        <v>571</v>
      </c>
      <c r="H91" s="151">
        <v>6</v>
      </c>
      <c r="I91" s="151">
        <v>681.57</v>
      </c>
      <c r="J91" s="151">
        <f t="shared" ref="J91:J92" si="44">I91*(1+$J$4)</f>
        <v>886.04100000000005</v>
      </c>
      <c r="K91" s="151">
        <f t="shared" ref="K91:K92" si="45">J91*H91</f>
        <v>5316.2460000000001</v>
      </c>
      <c r="L91" s="136"/>
      <c r="M91" s="101"/>
    </row>
    <row r="92" spans="2:14">
      <c r="B92" s="136"/>
      <c r="C92" s="147" t="s">
        <v>728</v>
      </c>
      <c r="D92" s="136"/>
      <c r="E92" s="136"/>
      <c r="F92" s="156" t="s">
        <v>645</v>
      </c>
      <c r="G92" s="136" t="s">
        <v>646</v>
      </c>
      <c r="H92" s="151">
        <v>1</v>
      </c>
      <c r="I92" s="151">
        <f>500*0.3</f>
        <v>150</v>
      </c>
      <c r="J92" s="151">
        <f t="shared" si="44"/>
        <v>195</v>
      </c>
      <c r="K92" s="151">
        <f t="shared" si="45"/>
        <v>195</v>
      </c>
      <c r="L92" s="136"/>
      <c r="M92" s="101"/>
    </row>
    <row r="93" spans="2:14">
      <c r="B93" s="136"/>
      <c r="C93" s="147"/>
      <c r="D93" s="136"/>
      <c r="E93" s="136"/>
      <c r="F93" s="156" t="s">
        <v>637</v>
      </c>
      <c r="G93" s="136"/>
      <c r="H93" s="151"/>
      <c r="I93" s="151"/>
      <c r="J93" s="151"/>
      <c r="K93" s="151"/>
      <c r="L93" s="136"/>
      <c r="M93" s="101"/>
    </row>
    <row r="94" spans="2:14" ht="25.5">
      <c r="B94" s="136"/>
      <c r="C94" s="147" t="s">
        <v>729</v>
      </c>
      <c r="D94" s="136" t="s">
        <v>667</v>
      </c>
      <c r="E94" s="136"/>
      <c r="F94" s="156" t="s">
        <v>638</v>
      </c>
      <c r="G94" s="136" t="s">
        <v>33</v>
      </c>
      <c r="H94" s="136">
        <v>12</v>
      </c>
      <c r="I94" s="151">
        <v>125</v>
      </c>
      <c r="J94" s="151">
        <f t="shared" ref="J94" si="46">I94*(1+$J$4)</f>
        <v>162.5</v>
      </c>
      <c r="K94" s="151">
        <f t="shared" ref="K94" si="47">J94*H94</f>
        <v>1950</v>
      </c>
      <c r="L94" s="136"/>
      <c r="M94" s="101"/>
    </row>
    <row r="95" spans="2:14">
      <c r="B95" s="136"/>
      <c r="C95" s="147"/>
      <c r="D95" s="136"/>
      <c r="E95" s="136"/>
      <c r="F95" s="156"/>
      <c r="G95" s="136"/>
      <c r="H95" s="151"/>
      <c r="I95" s="151"/>
      <c r="J95" s="151"/>
      <c r="K95" s="151"/>
      <c r="L95" s="136"/>
      <c r="M95" s="101"/>
    </row>
    <row r="96" spans="2:14">
      <c r="B96" s="136"/>
      <c r="C96" s="147"/>
      <c r="D96" s="136"/>
      <c r="E96" s="136"/>
      <c r="F96" s="156" t="s">
        <v>669</v>
      </c>
      <c r="G96" s="136" t="s">
        <v>317</v>
      </c>
      <c r="H96" s="151">
        <v>72.5</v>
      </c>
      <c r="I96" s="151"/>
      <c r="J96" s="151"/>
      <c r="K96" s="151"/>
      <c r="L96" s="136"/>
      <c r="M96" s="101"/>
    </row>
    <row r="97" spans="2:13" ht="25.5">
      <c r="B97" s="136"/>
      <c r="C97" s="147"/>
      <c r="D97" s="136"/>
      <c r="E97" s="136"/>
      <c r="F97" s="156" t="s">
        <v>694</v>
      </c>
      <c r="G97" s="136"/>
      <c r="H97" s="151"/>
      <c r="I97" s="151"/>
      <c r="J97" s="151"/>
      <c r="K97" s="151"/>
      <c r="L97" s="136"/>
      <c r="M97" s="101"/>
    </row>
    <row r="98" spans="2:13">
      <c r="B98" s="136"/>
      <c r="C98" s="147" t="s">
        <v>731</v>
      </c>
      <c r="D98" s="136">
        <v>72120</v>
      </c>
      <c r="E98" s="136"/>
      <c r="F98" s="156" t="s">
        <v>692</v>
      </c>
      <c r="G98" s="136" t="s">
        <v>317</v>
      </c>
      <c r="H98" s="151">
        <v>0</v>
      </c>
      <c r="I98" s="151">
        <v>240</v>
      </c>
      <c r="J98" s="151">
        <f t="shared" ref="J98:J100" si="48">I98*(1+$J$4)</f>
        <v>312</v>
      </c>
      <c r="K98" s="151">
        <f t="shared" ref="K98:K100" si="49">J98*H98</f>
        <v>0</v>
      </c>
      <c r="L98" s="136"/>
      <c r="M98" s="101"/>
    </row>
    <row r="99" spans="2:13">
      <c r="B99" s="136"/>
      <c r="C99" s="147" t="s">
        <v>732</v>
      </c>
      <c r="D99" s="136">
        <v>72120</v>
      </c>
      <c r="E99" s="136"/>
      <c r="F99" s="156" t="s">
        <v>693</v>
      </c>
      <c r="G99" s="136" t="s">
        <v>317</v>
      </c>
      <c r="H99" s="151">
        <v>0</v>
      </c>
      <c r="I99" s="151">
        <v>240</v>
      </c>
      <c r="J99" s="151">
        <f t="shared" si="48"/>
        <v>312</v>
      </c>
      <c r="K99" s="151">
        <f t="shared" si="49"/>
        <v>0</v>
      </c>
      <c r="L99" s="136"/>
      <c r="M99" s="101"/>
    </row>
    <row r="100" spans="2:13">
      <c r="B100" s="136"/>
      <c r="C100" s="147"/>
      <c r="D100" s="136">
        <v>72120</v>
      </c>
      <c r="E100" s="136"/>
      <c r="F100" s="156" t="s">
        <v>597</v>
      </c>
      <c r="G100" s="136" t="s">
        <v>317</v>
      </c>
      <c r="H100" s="151">
        <f>7.3*1.2</f>
        <v>8.76</v>
      </c>
      <c r="I100" s="151">
        <v>240</v>
      </c>
      <c r="J100" s="151">
        <f t="shared" si="48"/>
        <v>312</v>
      </c>
      <c r="K100" s="151">
        <f t="shared" si="49"/>
        <v>2733.12</v>
      </c>
      <c r="L100" s="136"/>
      <c r="M100" s="101"/>
    </row>
    <row r="101" spans="2:13">
      <c r="B101" s="136"/>
      <c r="C101" s="147"/>
      <c r="D101" s="136"/>
      <c r="E101" s="136"/>
      <c r="F101" s="156"/>
      <c r="G101" s="136"/>
      <c r="H101" s="151"/>
      <c r="I101" s="151"/>
      <c r="J101" s="151"/>
      <c r="K101" s="151"/>
      <c r="L101" s="136"/>
      <c r="M101" s="101"/>
    </row>
    <row r="102" spans="2:13">
      <c r="B102" s="136"/>
      <c r="C102" s="147"/>
      <c r="D102" s="136"/>
      <c r="E102" s="136"/>
      <c r="F102" s="156" t="s">
        <v>603</v>
      </c>
      <c r="G102" s="136"/>
      <c r="H102" s="151"/>
      <c r="I102" s="151"/>
      <c r="J102" s="151"/>
      <c r="K102" s="151"/>
      <c r="L102" s="136"/>
      <c r="M102" s="101"/>
    </row>
    <row r="103" spans="2:13">
      <c r="B103" s="136"/>
      <c r="C103" s="147" t="s">
        <v>733</v>
      </c>
      <c r="D103" s="136">
        <v>72120</v>
      </c>
      <c r="E103" s="136"/>
      <c r="F103" s="156" t="s">
        <v>604</v>
      </c>
      <c r="G103" s="136" t="s">
        <v>317</v>
      </c>
      <c r="H103" s="151">
        <f>2*2.1*3</f>
        <v>12.600000000000001</v>
      </c>
      <c r="I103" s="151">
        <v>240</v>
      </c>
      <c r="J103" s="151">
        <f t="shared" ref="J103" si="50">I103*(1+$J$4)</f>
        <v>312</v>
      </c>
      <c r="K103" s="151">
        <f t="shared" ref="K103" si="51">J103*H103</f>
        <v>3931.2000000000003</v>
      </c>
      <c r="L103" s="136"/>
      <c r="M103" s="101"/>
    </row>
    <row r="104" spans="2:13">
      <c r="B104" s="136"/>
      <c r="C104" s="147" t="s">
        <v>734</v>
      </c>
      <c r="D104" s="136">
        <v>72120</v>
      </c>
      <c r="E104" s="136"/>
      <c r="F104" s="156" t="s">
        <v>605</v>
      </c>
      <c r="G104" s="136" t="s">
        <v>317</v>
      </c>
      <c r="H104" s="151">
        <f>6*2.5</f>
        <v>15</v>
      </c>
      <c r="I104" s="151">
        <v>240</v>
      </c>
      <c r="J104" s="151">
        <f t="shared" ref="J104" si="52">I104*(1+$J$4)</f>
        <v>312</v>
      </c>
      <c r="K104" s="151">
        <f t="shared" ref="K104" si="53">J104*H104</f>
        <v>4680</v>
      </c>
      <c r="L104" s="136"/>
      <c r="M104" s="101"/>
    </row>
    <row r="105" spans="2:13">
      <c r="B105" s="136"/>
      <c r="C105" s="147"/>
      <c r="D105" s="136"/>
      <c r="E105" s="136"/>
      <c r="F105" s="156"/>
      <c r="G105" s="136"/>
      <c r="H105" s="151"/>
      <c r="I105" s="151"/>
      <c r="J105" s="151"/>
      <c r="K105" s="151"/>
      <c r="L105" s="136"/>
      <c r="M105" s="101"/>
    </row>
    <row r="106" spans="2:13">
      <c r="B106" s="136"/>
      <c r="C106" s="147"/>
      <c r="D106" s="136"/>
      <c r="E106" s="136"/>
      <c r="F106" s="156" t="s">
        <v>606</v>
      </c>
      <c r="G106" s="136"/>
      <c r="H106" s="151"/>
      <c r="I106" s="151"/>
      <c r="J106" s="151"/>
      <c r="K106" s="151"/>
      <c r="L106" s="136"/>
      <c r="M106" s="101"/>
    </row>
    <row r="107" spans="2:13">
      <c r="B107" s="136"/>
      <c r="C107" s="147" t="s">
        <v>329</v>
      </c>
      <c r="D107" s="136">
        <v>72120</v>
      </c>
      <c r="E107" s="136"/>
      <c r="F107" s="156" t="s">
        <v>609</v>
      </c>
      <c r="G107" s="136" t="s">
        <v>317</v>
      </c>
      <c r="H107" s="151">
        <f>2*1.5*2</f>
        <v>6</v>
      </c>
      <c r="I107" s="151">
        <v>240</v>
      </c>
      <c r="J107" s="151">
        <f t="shared" ref="J107" si="54">I107*(1+$J$4)</f>
        <v>312</v>
      </c>
      <c r="K107" s="151">
        <f t="shared" ref="K107" si="55">J107*H107</f>
        <v>1872</v>
      </c>
      <c r="L107" s="136"/>
      <c r="M107" s="101"/>
    </row>
    <row r="108" spans="2:13">
      <c r="B108" s="136"/>
      <c r="C108" s="147"/>
      <c r="D108" s="136"/>
      <c r="E108" s="136"/>
      <c r="F108" s="156" t="s">
        <v>610</v>
      </c>
      <c r="G108" s="136"/>
      <c r="H108" s="151"/>
      <c r="I108" s="151"/>
      <c r="J108" s="151"/>
      <c r="K108" s="151"/>
      <c r="L108" s="136"/>
      <c r="M108" s="101"/>
    </row>
    <row r="109" spans="2:13">
      <c r="B109" s="136"/>
      <c r="C109" s="147" t="s">
        <v>735</v>
      </c>
      <c r="D109" s="136">
        <v>72120</v>
      </c>
      <c r="E109" s="136"/>
      <c r="F109" s="156" t="s">
        <v>607</v>
      </c>
      <c r="G109" s="136" t="s">
        <v>317</v>
      </c>
      <c r="H109" s="151">
        <f>0.6*0.4*2</f>
        <v>0.48</v>
      </c>
      <c r="I109" s="151">
        <v>240</v>
      </c>
      <c r="J109" s="151">
        <f t="shared" ref="J109:J163" si="56">I109*(1+$J$4)</f>
        <v>312</v>
      </c>
      <c r="K109" s="151">
        <f t="shared" ref="K109:K110" si="57">J109*H109</f>
        <v>149.76</v>
      </c>
      <c r="L109" s="136"/>
      <c r="M109" s="101"/>
    </row>
    <row r="110" spans="2:13">
      <c r="B110" s="136"/>
      <c r="C110" s="147" t="s">
        <v>736</v>
      </c>
      <c r="D110" s="136">
        <v>72120</v>
      </c>
      <c r="E110" s="136"/>
      <c r="F110" s="156" t="s">
        <v>608</v>
      </c>
      <c r="G110" s="136" t="s">
        <v>317</v>
      </c>
      <c r="H110" s="151">
        <f>0.4*1</f>
        <v>0.4</v>
      </c>
      <c r="I110" s="151">
        <v>240</v>
      </c>
      <c r="J110" s="151">
        <f t="shared" si="56"/>
        <v>312</v>
      </c>
      <c r="K110" s="151">
        <f t="shared" si="57"/>
        <v>124.80000000000001</v>
      </c>
      <c r="L110" s="136"/>
      <c r="M110" s="101"/>
    </row>
    <row r="111" spans="2:13">
      <c r="B111" s="136"/>
      <c r="C111" s="147"/>
      <c r="D111" s="136"/>
      <c r="E111" s="136"/>
      <c r="F111" s="156" t="s">
        <v>573</v>
      </c>
      <c r="G111" s="136"/>
      <c r="H111" s="151"/>
      <c r="I111" s="151"/>
      <c r="J111" s="151">
        <f t="shared" si="56"/>
        <v>0</v>
      </c>
      <c r="K111" s="151"/>
      <c r="L111" s="136"/>
      <c r="M111" s="101"/>
    </row>
    <row r="112" spans="2:13" ht="38.25">
      <c r="B112" s="136"/>
      <c r="C112" s="147" t="s">
        <v>737</v>
      </c>
      <c r="D112" s="136">
        <v>94573</v>
      </c>
      <c r="E112" s="136"/>
      <c r="F112" s="156" t="s">
        <v>683</v>
      </c>
      <c r="G112" s="136" t="s">
        <v>317</v>
      </c>
      <c r="H112" s="151">
        <v>15.9</v>
      </c>
      <c r="I112" s="151">
        <v>352.36</v>
      </c>
      <c r="J112" s="151">
        <f t="shared" si="56"/>
        <v>458.06800000000004</v>
      </c>
      <c r="K112" s="151">
        <f t="shared" ref="K112:K167" si="58">J112*H112</f>
        <v>7283.2812000000004</v>
      </c>
      <c r="L112" s="136"/>
      <c r="M112" s="101"/>
    </row>
    <row r="113" spans="2:13">
      <c r="B113" s="136"/>
      <c r="C113" s="147"/>
      <c r="D113" s="136"/>
      <c r="E113" s="136"/>
      <c r="F113" s="156"/>
      <c r="G113" s="136"/>
      <c r="H113" s="151"/>
      <c r="I113" s="151"/>
      <c r="J113" s="151"/>
      <c r="K113" s="151"/>
      <c r="L113" s="136"/>
      <c r="M113" s="101"/>
    </row>
    <row r="114" spans="2:13">
      <c r="B114" s="136"/>
      <c r="C114" s="147">
        <v>10</v>
      </c>
      <c r="D114" s="136"/>
      <c r="E114" s="136"/>
      <c r="F114" s="156" t="s">
        <v>684</v>
      </c>
      <c r="G114" s="136"/>
      <c r="H114" s="151"/>
      <c r="I114" s="151"/>
      <c r="J114" s="151"/>
      <c r="K114" s="151"/>
      <c r="L114" s="137">
        <f>SUM(K116:K141)</f>
        <v>3110.9</v>
      </c>
      <c r="M114" s="101"/>
    </row>
    <row r="115" spans="2:13">
      <c r="B115" s="136"/>
      <c r="C115" s="147"/>
      <c r="D115" s="136"/>
      <c r="E115" s="136"/>
      <c r="F115" s="158" t="s">
        <v>199</v>
      </c>
      <c r="G115" s="158"/>
      <c r="H115" s="158"/>
      <c r="I115" s="159"/>
      <c r="J115" s="151"/>
      <c r="K115" s="151"/>
      <c r="L115" s="136"/>
      <c r="M115" s="101"/>
    </row>
    <row r="116" spans="2:13">
      <c r="B116" s="136"/>
      <c r="C116" s="147"/>
      <c r="D116" s="136"/>
      <c r="E116" s="136"/>
      <c r="F116" s="158" t="s">
        <v>200</v>
      </c>
      <c r="G116" s="158"/>
      <c r="H116" s="158" t="s">
        <v>483</v>
      </c>
      <c r="I116" s="159" t="s">
        <v>579</v>
      </c>
      <c r="J116" s="151"/>
      <c r="K116" s="151"/>
      <c r="L116" s="136"/>
      <c r="M116" s="101"/>
    </row>
    <row r="117" spans="2:13">
      <c r="B117" s="136"/>
      <c r="C117" s="147" t="s">
        <v>738</v>
      </c>
      <c r="D117" s="136"/>
      <c r="E117" s="136"/>
      <c r="F117" s="158" t="s">
        <v>201</v>
      </c>
      <c r="G117" s="158" t="s">
        <v>202</v>
      </c>
      <c r="H117" s="158">
        <v>3</v>
      </c>
      <c r="I117" s="159">
        <v>200</v>
      </c>
      <c r="J117" s="151">
        <f t="shared" si="56"/>
        <v>260</v>
      </c>
      <c r="K117" s="151">
        <f t="shared" si="58"/>
        <v>780</v>
      </c>
      <c r="L117" s="136"/>
      <c r="M117" s="101"/>
    </row>
    <row r="118" spans="2:13">
      <c r="B118" s="136"/>
      <c r="C118" s="147"/>
      <c r="D118" s="136"/>
      <c r="E118" s="136"/>
      <c r="F118" s="158" t="s">
        <v>216</v>
      </c>
      <c r="G118" s="158"/>
      <c r="H118" s="158"/>
      <c r="I118" s="159"/>
      <c r="J118" s="151">
        <f t="shared" si="56"/>
        <v>0</v>
      </c>
      <c r="K118" s="151">
        <f t="shared" si="58"/>
        <v>0</v>
      </c>
      <c r="L118" s="136"/>
      <c r="M118" s="101"/>
    </row>
    <row r="119" spans="2:13">
      <c r="B119" s="136"/>
      <c r="C119" s="147"/>
      <c r="D119" s="136"/>
      <c r="E119" s="136"/>
      <c r="F119" s="158" t="s">
        <v>217</v>
      </c>
      <c r="G119" s="158"/>
      <c r="H119" s="158"/>
      <c r="I119" s="159"/>
      <c r="J119" s="151">
        <f t="shared" si="56"/>
        <v>0</v>
      </c>
      <c r="K119" s="151">
        <f t="shared" si="58"/>
        <v>0</v>
      </c>
      <c r="L119" s="136"/>
      <c r="M119" s="101"/>
    </row>
    <row r="120" spans="2:13">
      <c r="B120" s="136"/>
      <c r="C120" s="147" t="s">
        <v>330</v>
      </c>
      <c r="D120" s="136"/>
      <c r="E120" s="136"/>
      <c r="F120" s="158" t="s">
        <v>218</v>
      </c>
      <c r="G120" s="158" t="s">
        <v>219</v>
      </c>
      <c r="H120" s="158">
        <v>2</v>
      </c>
      <c r="I120" s="159">
        <v>26</v>
      </c>
      <c r="J120" s="151">
        <f t="shared" si="56"/>
        <v>33.800000000000004</v>
      </c>
      <c r="K120" s="151">
        <f t="shared" si="58"/>
        <v>67.600000000000009</v>
      </c>
      <c r="L120" s="136"/>
      <c r="M120" s="101"/>
    </row>
    <row r="121" spans="2:13">
      <c r="B121" s="136"/>
      <c r="C121" s="147" t="s">
        <v>739</v>
      </c>
      <c r="D121" s="136"/>
      <c r="E121" s="136"/>
      <c r="F121" s="158" t="s">
        <v>215</v>
      </c>
      <c r="G121" s="158" t="s">
        <v>206</v>
      </c>
      <c r="H121" s="158">
        <v>6</v>
      </c>
      <c r="I121" s="159">
        <v>10</v>
      </c>
      <c r="J121" s="151">
        <f t="shared" si="56"/>
        <v>13</v>
      </c>
      <c r="K121" s="151">
        <f t="shared" si="58"/>
        <v>78</v>
      </c>
      <c r="L121" s="136"/>
      <c r="M121" s="101"/>
    </row>
    <row r="122" spans="2:13">
      <c r="B122" s="136"/>
      <c r="C122" s="147"/>
      <c r="D122" s="136"/>
      <c r="E122" s="136"/>
      <c r="F122" s="158" t="s">
        <v>220</v>
      </c>
      <c r="G122" s="158"/>
      <c r="H122" s="158"/>
      <c r="I122" s="159"/>
      <c r="J122" s="151">
        <f t="shared" si="56"/>
        <v>0</v>
      </c>
      <c r="K122" s="151">
        <f t="shared" si="58"/>
        <v>0</v>
      </c>
      <c r="L122" s="136"/>
      <c r="M122" s="101"/>
    </row>
    <row r="123" spans="2:13">
      <c r="B123" s="136"/>
      <c r="C123" s="147" t="s">
        <v>740</v>
      </c>
      <c r="D123" s="136"/>
      <c r="E123" s="136"/>
      <c r="F123" s="158" t="s">
        <v>218</v>
      </c>
      <c r="G123" s="158" t="s">
        <v>219</v>
      </c>
      <c r="H123" s="158">
        <v>2</v>
      </c>
      <c r="I123" s="159">
        <v>26</v>
      </c>
      <c r="J123" s="151">
        <f t="shared" si="56"/>
        <v>33.800000000000004</v>
      </c>
      <c r="K123" s="151">
        <f t="shared" si="58"/>
        <v>67.600000000000009</v>
      </c>
      <c r="L123" s="136"/>
      <c r="M123" s="101"/>
    </row>
    <row r="124" spans="2:13">
      <c r="B124" s="136"/>
      <c r="C124" s="147" t="s">
        <v>741</v>
      </c>
      <c r="D124" s="136"/>
      <c r="E124" s="136"/>
      <c r="F124" s="158" t="s">
        <v>215</v>
      </c>
      <c r="G124" s="158" t="s">
        <v>219</v>
      </c>
      <c r="H124" s="158">
        <v>2</v>
      </c>
      <c r="I124" s="159">
        <v>10</v>
      </c>
      <c r="J124" s="151">
        <f t="shared" si="56"/>
        <v>13</v>
      </c>
      <c r="K124" s="151">
        <f t="shared" si="58"/>
        <v>26</v>
      </c>
      <c r="L124" s="136"/>
      <c r="M124" s="101"/>
    </row>
    <row r="125" spans="2:13">
      <c r="B125" s="136"/>
      <c r="C125" s="147" t="s">
        <v>742</v>
      </c>
      <c r="D125" s="136"/>
      <c r="E125" s="136"/>
      <c r="F125" s="158" t="s">
        <v>221</v>
      </c>
      <c r="G125" s="158" t="s">
        <v>206</v>
      </c>
      <c r="H125" s="158">
        <v>6</v>
      </c>
      <c r="I125" s="159">
        <v>10</v>
      </c>
      <c r="J125" s="151">
        <f t="shared" si="56"/>
        <v>13</v>
      </c>
      <c r="K125" s="151">
        <f t="shared" si="58"/>
        <v>78</v>
      </c>
      <c r="L125" s="136"/>
      <c r="M125" s="101"/>
    </row>
    <row r="126" spans="2:13">
      <c r="B126" s="136"/>
      <c r="C126" s="147"/>
      <c r="D126" s="136"/>
      <c r="E126" s="136"/>
      <c r="F126" s="158" t="s">
        <v>222</v>
      </c>
      <c r="G126" s="158"/>
      <c r="H126" s="158"/>
      <c r="I126" s="159"/>
      <c r="J126" s="151">
        <f t="shared" si="56"/>
        <v>0</v>
      </c>
      <c r="K126" s="151">
        <f t="shared" si="58"/>
        <v>0</v>
      </c>
      <c r="L126" s="136"/>
      <c r="M126" s="101"/>
    </row>
    <row r="127" spans="2:13">
      <c r="B127" s="136"/>
      <c r="C127" s="147" t="s">
        <v>743</v>
      </c>
      <c r="D127" s="136"/>
      <c r="E127" s="136"/>
      <c r="F127" s="158" t="s">
        <v>215</v>
      </c>
      <c r="G127" s="158" t="s">
        <v>208</v>
      </c>
      <c r="H127" s="158">
        <v>4</v>
      </c>
      <c r="I127" s="159">
        <v>10</v>
      </c>
      <c r="J127" s="151">
        <f t="shared" si="56"/>
        <v>13</v>
      </c>
      <c r="K127" s="151">
        <f t="shared" si="58"/>
        <v>52</v>
      </c>
      <c r="L127" s="136"/>
      <c r="M127" s="101"/>
    </row>
    <row r="128" spans="2:13">
      <c r="B128" s="136"/>
      <c r="C128" s="147" t="s">
        <v>744</v>
      </c>
      <c r="D128" s="136"/>
      <c r="E128" s="136"/>
      <c r="F128" s="158" t="s">
        <v>221</v>
      </c>
      <c r="G128" s="158" t="s">
        <v>208</v>
      </c>
      <c r="H128" s="158">
        <v>4</v>
      </c>
      <c r="I128" s="159">
        <v>10</v>
      </c>
      <c r="J128" s="151">
        <f t="shared" si="56"/>
        <v>13</v>
      </c>
      <c r="K128" s="151">
        <f t="shared" si="58"/>
        <v>52</v>
      </c>
      <c r="L128" s="136"/>
      <c r="M128" s="101"/>
    </row>
    <row r="129" spans="2:13">
      <c r="B129" s="136"/>
      <c r="C129" s="147"/>
      <c r="D129" s="136"/>
      <c r="E129" s="136"/>
      <c r="F129" s="158" t="s">
        <v>224</v>
      </c>
      <c r="G129" s="158"/>
      <c r="H129" s="158"/>
      <c r="I129" s="159"/>
      <c r="J129" s="151">
        <f t="shared" si="56"/>
        <v>0</v>
      </c>
      <c r="K129" s="151">
        <f t="shared" si="58"/>
        <v>0</v>
      </c>
      <c r="L129" s="136"/>
      <c r="M129" s="101"/>
    </row>
    <row r="130" spans="2:13">
      <c r="B130" s="136"/>
      <c r="C130" s="147" t="s">
        <v>745</v>
      </c>
      <c r="D130" s="136"/>
      <c r="E130" s="136"/>
      <c r="F130" s="158" t="s">
        <v>225</v>
      </c>
      <c r="G130" s="158" t="s">
        <v>219</v>
      </c>
      <c r="H130" s="158">
        <v>2</v>
      </c>
      <c r="I130" s="159">
        <v>28</v>
      </c>
      <c r="J130" s="151">
        <f t="shared" si="56"/>
        <v>36.4</v>
      </c>
      <c r="K130" s="151">
        <f t="shared" si="58"/>
        <v>72.8</v>
      </c>
      <c r="L130" s="136"/>
      <c r="M130" s="101"/>
    </row>
    <row r="131" spans="2:13">
      <c r="B131" s="136"/>
      <c r="C131" s="147"/>
      <c r="D131" s="136"/>
      <c r="E131" s="136"/>
      <c r="F131" s="158" t="s">
        <v>235</v>
      </c>
      <c r="G131" s="158"/>
      <c r="H131" s="158"/>
      <c r="I131" s="159"/>
      <c r="J131" s="151">
        <f t="shared" si="56"/>
        <v>0</v>
      </c>
      <c r="K131" s="151">
        <f t="shared" si="58"/>
        <v>0</v>
      </c>
      <c r="L131" s="136"/>
      <c r="M131" s="101"/>
    </row>
    <row r="132" spans="2:13">
      <c r="B132" s="136"/>
      <c r="C132" s="147" t="s">
        <v>746</v>
      </c>
      <c r="D132" s="136"/>
      <c r="E132" s="136"/>
      <c r="F132" s="158" t="s">
        <v>215</v>
      </c>
      <c r="G132" s="158" t="s">
        <v>236</v>
      </c>
      <c r="H132" s="158">
        <v>1.5</v>
      </c>
      <c r="I132" s="159">
        <v>10</v>
      </c>
      <c r="J132" s="151">
        <f t="shared" si="56"/>
        <v>13</v>
      </c>
      <c r="K132" s="151">
        <f t="shared" si="58"/>
        <v>19.5</v>
      </c>
      <c r="L132" s="136"/>
      <c r="M132" s="101"/>
    </row>
    <row r="133" spans="2:13">
      <c r="B133" s="136"/>
      <c r="C133" s="147"/>
      <c r="D133" s="136"/>
      <c r="E133" s="136"/>
      <c r="F133" s="158" t="s">
        <v>237</v>
      </c>
      <c r="G133" s="158"/>
      <c r="H133" s="158"/>
      <c r="I133" s="159"/>
      <c r="J133" s="151">
        <f t="shared" si="56"/>
        <v>0</v>
      </c>
      <c r="K133" s="151">
        <f t="shared" si="58"/>
        <v>0</v>
      </c>
      <c r="L133" s="136"/>
      <c r="M133" s="101"/>
    </row>
    <row r="134" spans="2:13">
      <c r="B134" s="136"/>
      <c r="C134" s="147" t="s">
        <v>747</v>
      </c>
      <c r="D134" s="136"/>
      <c r="E134" s="136"/>
      <c r="F134" s="158" t="s">
        <v>238</v>
      </c>
      <c r="G134" s="158" t="s">
        <v>611</v>
      </c>
      <c r="H134" s="158">
        <v>50</v>
      </c>
      <c r="I134" s="159">
        <v>20</v>
      </c>
      <c r="J134" s="151">
        <f t="shared" si="56"/>
        <v>26</v>
      </c>
      <c r="K134" s="151">
        <f t="shared" si="58"/>
        <v>1300</v>
      </c>
      <c r="L134" s="136"/>
      <c r="M134" s="101"/>
    </row>
    <row r="135" spans="2:13">
      <c r="B135" s="136"/>
      <c r="C135" s="147" t="s">
        <v>748</v>
      </c>
      <c r="D135" s="136"/>
      <c r="E135" s="136"/>
      <c r="F135" s="158" t="s">
        <v>215</v>
      </c>
      <c r="G135" s="158" t="s">
        <v>240</v>
      </c>
      <c r="H135" s="158">
        <v>10</v>
      </c>
      <c r="I135" s="159">
        <v>10</v>
      </c>
      <c r="J135" s="151">
        <f t="shared" si="56"/>
        <v>13</v>
      </c>
      <c r="K135" s="151">
        <f t="shared" si="58"/>
        <v>130</v>
      </c>
      <c r="L135" s="136"/>
      <c r="M135" s="101"/>
    </row>
    <row r="136" spans="2:13">
      <c r="B136" s="136"/>
      <c r="C136" s="147" t="s">
        <v>749</v>
      </c>
      <c r="D136" s="136"/>
      <c r="E136" s="136"/>
      <c r="F136" s="158" t="s">
        <v>241</v>
      </c>
      <c r="G136" s="158" t="s">
        <v>612</v>
      </c>
      <c r="H136" s="158">
        <v>12</v>
      </c>
      <c r="I136" s="159">
        <v>15</v>
      </c>
      <c r="J136" s="151">
        <f t="shared" si="56"/>
        <v>19.5</v>
      </c>
      <c r="K136" s="151">
        <f t="shared" si="58"/>
        <v>234</v>
      </c>
      <c r="L136" s="136"/>
      <c r="M136" s="101"/>
    </row>
    <row r="137" spans="2:13">
      <c r="B137" s="136"/>
      <c r="C137" s="147"/>
      <c r="D137" s="136"/>
      <c r="E137" s="136"/>
      <c r="F137" s="158" t="s">
        <v>243</v>
      </c>
      <c r="G137" s="158"/>
      <c r="H137" s="158"/>
      <c r="I137" s="159"/>
      <c r="J137" s="151">
        <f t="shared" si="56"/>
        <v>0</v>
      </c>
      <c r="K137" s="151">
        <f t="shared" si="58"/>
        <v>0</v>
      </c>
      <c r="L137" s="136"/>
      <c r="M137" s="101"/>
    </row>
    <row r="138" spans="2:13">
      <c r="B138" s="136"/>
      <c r="C138" s="147" t="s">
        <v>750</v>
      </c>
      <c r="D138" s="136"/>
      <c r="E138" s="136"/>
      <c r="F138" s="158" t="s">
        <v>215</v>
      </c>
      <c r="G138" s="158" t="s">
        <v>219</v>
      </c>
      <c r="H138" s="158">
        <v>2</v>
      </c>
      <c r="I138" s="159">
        <v>15</v>
      </c>
      <c r="J138" s="151">
        <f t="shared" si="56"/>
        <v>19.5</v>
      </c>
      <c r="K138" s="151">
        <f t="shared" si="58"/>
        <v>39</v>
      </c>
      <c r="L138" s="136"/>
      <c r="M138" s="101"/>
    </row>
    <row r="139" spans="2:13">
      <c r="B139" s="136"/>
      <c r="C139" s="147"/>
      <c r="D139" s="136"/>
      <c r="E139" s="136"/>
      <c r="F139" s="158" t="s">
        <v>247</v>
      </c>
      <c r="G139" s="158"/>
      <c r="H139" s="158"/>
      <c r="I139" s="159"/>
      <c r="J139" s="151">
        <f t="shared" si="56"/>
        <v>0</v>
      </c>
      <c r="K139" s="151">
        <f t="shared" si="58"/>
        <v>0</v>
      </c>
      <c r="L139" s="136"/>
      <c r="M139" s="101"/>
    </row>
    <row r="140" spans="2:13">
      <c r="B140" s="136"/>
      <c r="C140" s="147" t="s">
        <v>751</v>
      </c>
      <c r="D140" s="136"/>
      <c r="E140" s="136"/>
      <c r="F140" s="158" t="s">
        <v>250</v>
      </c>
      <c r="G140" s="158"/>
      <c r="H140" s="158"/>
      <c r="I140" s="159"/>
      <c r="J140" s="151">
        <f t="shared" si="56"/>
        <v>0</v>
      </c>
      <c r="K140" s="151">
        <f t="shared" si="58"/>
        <v>0</v>
      </c>
      <c r="L140" s="136"/>
      <c r="M140" s="101"/>
    </row>
    <row r="141" spans="2:13">
      <c r="B141" s="136"/>
      <c r="C141" s="147"/>
      <c r="D141" s="136"/>
      <c r="E141" s="136"/>
      <c r="F141" s="158" t="s">
        <v>251</v>
      </c>
      <c r="G141" s="158" t="s">
        <v>208</v>
      </c>
      <c r="H141" s="158">
        <v>4</v>
      </c>
      <c r="I141" s="159">
        <v>22</v>
      </c>
      <c r="J141" s="151">
        <f t="shared" si="56"/>
        <v>28.6</v>
      </c>
      <c r="K141" s="151">
        <f t="shared" si="58"/>
        <v>114.4</v>
      </c>
      <c r="L141" s="136"/>
      <c r="M141" s="101"/>
    </row>
    <row r="142" spans="2:13">
      <c r="B142" s="136"/>
      <c r="C142" s="147"/>
      <c r="D142" s="136"/>
      <c r="E142" s="136"/>
      <c r="F142" s="156"/>
      <c r="G142" s="136"/>
      <c r="H142" s="151"/>
      <c r="I142" s="151"/>
      <c r="J142" s="151">
        <f t="shared" si="56"/>
        <v>0</v>
      </c>
      <c r="K142" s="151">
        <f t="shared" si="58"/>
        <v>0</v>
      </c>
      <c r="L142" s="136"/>
      <c r="M142" s="101"/>
    </row>
    <row r="143" spans="2:13">
      <c r="B143" s="136"/>
      <c r="C143" s="147">
        <v>11</v>
      </c>
      <c r="D143" s="136"/>
      <c r="E143" s="136"/>
      <c r="F143" s="156" t="s">
        <v>598</v>
      </c>
      <c r="G143" s="136"/>
      <c r="H143" s="151"/>
      <c r="I143" s="151"/>
      <c r="J143" s="151">
        <f t="shared" si="56"/>
        <v>0</v>
      </c>
      <c r="K143" s="151">
        <f t="shared" si="58"/>
        <v>0</v>
      </c>
      <c r="L143" s="137">
        <f>SUM(K144:K172)</f>
        <v>5356.1299999999992</v>
      </c>
      <c r="M143" s="101"/>
    </row>
    <row r="144" spans="2:13">
      <c r="B144" s="136"/>
      <c r="C144" s="147"/>
      <c r="D144" s="136"/>
      <c r="E144" s="136"/>
      <c r="F144" s="158" t="s">
        <v>252</v>
      </c>
      <c r="G144" s="158"/>
      <c r="H144" s="158"/>
      <c r="I144" s="159"/>
      <c r="J144" s="151">
        <f t="shared" si="56"/>
        <v>0</v>
      </c>
      <c r="K144" s="151">
        <f t="shared" si="58"/>
        <v>0</v>
      </c>
      <c r="L144" s="136"/>
      <c r="M144" s="101"/>
    </row>
    <row r="145" spans="2:13">
      <c r="B145" s="136"/>
      <c r="C145" s="147"/>
      <c r="D145" s="136"/>
      <c r="E145" s="136"/>
      <c r="F145" s="158" t="s">
        <v>582</v>
      </c>
      <c r="G145" s="158"/>
      <c r="H145" s="158"/>
      <c r="I145" s="159"/>
      <c r="J145" s="151">
        <f t="shared" si="56"/>
        <v>0</v>
      </c>
      <c r="K145" s="151">
        <f t="shared" si="58"/>
        <v>0</v>
      </c>
      <c r="L145" s="136"/>
      <c r="M145" s="101"/>
    </row>
    <row r="146" spans="2:13">
      <c r="B146" s="136"/>
      <c r="C146" s="147" t="s">
        <v>752</v>
      </c>
      <c r="D146" s="136"/>
      <c r="E146" s="136"/>
      <c r="F146" s="158" t="s">
        <v>253</v>
      </c>
      <c r="G146" s="158" t="s">
        <v>211</v>
      </c>
      <c r="H146" s="158">
        <v>1</v>
      </c>
      <c r="I146" s="159">
        <v>450</v>
      </c>
      <c r="J146" s="151">
        <f t="shared" si="56"/>
        <v>585</v>
      </c>
      <c r="K146" s="151">
        <f t="shared" si="58"/>
        <v>585</v>
      </c>
      <c r="L146" s="136"/>
      <c r="M146" s="101"/>
    </row>
    <row r="147" spans="2:13">
      <c r="B147" s="136"/>
      <c r="C147" s="147"/>
      <c r="D147" s="136"/>
      <c r="E147" s="136"/>
      <c r="F147" s="158" t="s">
        <v>613</v>
      </c>
      <c r="G147" s="158"/>
      <c r="H147" s="158"/>
      <c r="I147" s="159"/>
      <c r="J147" s="151">
        <f t="shared" si="56"/>
        <v>0</v>
      </c>
      <c r="K147" s="151">
        <f t="shared" si="58"/>
        <v>0</v>
      </c>
      <c r="L147" s="136"/>
      <c r="M147" s="101"/>
    </row>
    <row r="148" spans="2:13" ht="51">
      <c r="B148" s="136"/>
      <c r="C148" s="147" t="s">
        <v>753</v>
      </c>
      <c r="D148" s="136">
        <v>86893</v>
      </c>
      <c r="E148" s="136"/>
      <c r="F148" s="156" t="s">
        <v>614</v>
      </c>
      <c r="G148" s="158" t="s">
        <v>219</v>
      </c>
      <c r="H148" s="158">
        <v>2</v>
      </c>
      <c r="I148" s="159">
        <v>600</v>
      </c>
      <c r="J148" s="151">
        <f t="shared" si="56"/>
        <v>780</v>
      </c>
      <c r="K148" s="151">
        <f t="shared" si="58"/>
        <v>1560</v>
      </c>
      <c r="L148" s="136"/>
      <c r="M148" s="101"/>
    </row>
    <row r="149" spans="2:13">
      <c r="B149" s="136"/>
      <c r="C149" s="147"/>
      <c r="D149" s="136"/>
      <c r="E149" s="136"/>
      <c r="F149" s="158" t="s">
        <v>255</v>
      </c>
      <c r="G149" s="136"/>
      <c r="H149" s="151"/>
      <c r="I149" s="151"/>
      <c r="J149" s="151">
        <f t="shared" si="56"/>
        <v>0</v>
      </c>
      <c r="K149" s="151">
        <f t="shared" si="58"/>
        <v>0</v>
      </c>
      <c r="L149" s="136"/>
      <c r="M149" s="101"/>
    </row>
    <row r="150" spans="2:13" ht="38.25">
      <c r="B150" s="136"/>
      <c r="C150" s="147" t="s">
        <v>754</v>
      </c>
      <c r="D150" s="136">
        <v>86931</v>
      </c>
      <c r="E150" s="136"/>
      <c r="F150" s="156" t="s">
        <v>615</v>
      </c>
      <c r="G150" s="158" t="s">
        <v>219</v>
      </c>
      <c r="H150" s="158">
        <v>2</v>
      </c>
      <c r="I150" s="159">
        <v>401.08</v>
      </c>
      <c r="J150" s="151">
        <f>I150*(1+$J$4)</f>
        <v>521.404</v>
      </c>
      <c r="K150" s="151">
        <f>J150*H150</f>
        <v>1042.808</v>
      </c>
      <c r="L150" s="136"/>
      <c r="M150" s="101"/>
    </row>
    <row r="151" spans="2:13">
      <c r="B151" s="136"/>
      <c r="C151" s="147"/>
      <c r="D151" s="136"/>
      <c r="E151" s="136"/>
      <c r="F151" s="158" t="s">
        <v>69</v>
      </c>
      <c r="G151" s="136"/>
      <c r="H151" s="151"/>
      <c r="I151" s="151"/>
      <c r="J151" s="151"/>
      <c r="K151" s="151"/>
      <c r="L151" s="136"/>
      <c r="M151" s="101"/>
    </row>
    <row r="152" spans="2:13">
      <c r="B152" s="136"/>
      <c r="C152" s="147"/>
      <c r="D152" s="136"/>
      <c r="E152" s="136"/>
      <c r="F152" s="158" t="s">
        <v>256</v>
      </c>
      <c r="G152" s="158"/>
      <c r="H152" s="158"/>
      <c r="I152" s="159"/>
      <c r="J152" s="151">
        <f t="shared" si="56"/>
        <v>0</v>
      </c>
      <c r="K152" s="151">
        <f t="shared" si="58"/>
        <v>0</v>
      </c>
      <c r="L152" s="136"/>
      <c r="M152" s="101"/>
    </row>
    <row r="153" spans="2:13">
      <c r="B153" s="136"/>
      <c r="C153" s="147"/>
      <c r="D153" s="136"/>
      <c r="E153" s="136"/>
      <c r="F153" s="158" t="s">
        <v>257</v>
      </c>
      <c r="G153" s="158"/>
      <c r="H153" s="158"/>
      <c r="I153" s="159"/>
      <c r="J153" s="151">
        <f t="shared" si="56"/>
        <v>0</v>
      </c>
      <c r="K153" s="151">
        <f t="shared" si="58"/>
        <v>0</v>
      </c>
      <c r="L153" s="136"/>
      <c r="M153" s="101"/>
    </row>
    <row r="154" spans="2:13">
      <c r="B154" s="136"/>
      <c r="C154" s="147" t="s">
        <v>327</v>
      </c>
      <c r="D154" s="136"/>
      <c r="E154" s="136"/>
      <c r="F154" s="158" t="s">
        <v>131</v>
      </c>
      <c r="G154" s="158" t="s">
        <v>219</v>
      </c>
      <c r="H154" s="158">
        <v>2</v>
      </c>
      <c r="I154" s="159">
        <v>30</v>
      </c>
      <c r="J154" s="151">
        <f t="shared" si="56"/>
        <v>39</v>
      </c>
      <c r="K154" s="151">
        <f t="shared" si="58"/>
        <v>78</v>
      </c>
      <c r="L154" s="136"/>
      <c r="M154" s="101"/>
    </row>
    <row r="155" spans="2:13">
      <c r="B155" s="136"/>
      <c r="C155" s="147"/>
      <c r="D155" s="136"/>
      <c r="E155" s="136"/>
      <c r="F155" s="158" t="s">
        <v>258</v>
      </c>
      <c r="G155" s="158"/>
      <c r="H155" s="158"/>
      <c r="I155" s="159"/>
      <c r="J155" s="151">
        <f t="shared" si="56"/>
        <v>0</v>
      </c>
      <c r="K155" s="151">
        <f t="shared" si="58"/>
        <v>0</v>
      </c>
      <c r="L155" s="136"/>
      <c r="M155" s="101"/>
    </row>
    <row r="156" spans="2:13">
      <c r="B156" s="136"/>
      <c r="C156" s="147"/>
      <c r="D156" s="136"/>
      <c r="E156" s="136"/>
      <c r="F156" s="158" t="s">
        <v>263</v>
      </c>
      <c r="G156" s="158"/>
      <c r="H156" s="158"/>
      <c r="I156" s="159"/>
      <c r="J156" s="151">
        <f t="shared" si="56"/>
        <v>0</v>
      </c>
      <c r="K156" s="151">
        <f t="shared" si="58"/>
        <v>0</v>
      </c>
      <c r="L156" s="136"/>
      <c r="M156" s="101"/>
    </row>
    <row r="157" spans="2:13">
      <c r="B157" s="136"/>
      <c r="C157" s="147"/>
      <c r="D157" s="136"/>
      <c r="E157" s="136"/>
      <c r="F157" s="158" t="s">
        <v>264</v>
      </c>
      <c r="G157" s="158"/>
      <c r="H157" s="158"/>
      <c r="I157" s="159"/>
      <c r="J157" s="151">
        <f t="shared" si="56"/>
        <v>0</v>
      </c>
      <c r="K157" s="151">
        <f t="shared" si="58"/>
        <v>0</v>
      </c>
      <c r="L157" s="136"/>
      <c r="M157" s="101"/>
    </row>
    <row r="158" spans="2:13">
      <c r="B158" s="136"/>
      <c r="C158" s="147" t="s">
        <v>755</v>
      </c>
      <c r="D158" s="136"/>
      <c r="E158" s="136"/>
      <c r="F158" s="158" t="s">
        <v>254</v>
      </c>
      <c r="G158" s="158" t="s">
        <v>208</v>
      </c>
      <c r="H158" s="158">
        <v>4</v>
      </c>
      <c r="I158" s="159">
        <v>5</v>
      </c>
      <c r="J158" s="151">
        <f t="shared" si="56"/>
        <v>6.5</v>
      </c>
      <c r="K158" s="151">
        <f t="shared" si="58"/>
        <v>26</v>
      </c>
      <c r="L158" s="136"/>
      <c r="M158" s="101"/>
    </row>
    <row r="159" spans="2:13">
      <c r="B159" s="136"/>
      <c r="C159" s="147" t="s">
        <v>756</v>
      </c>
      <c r="D159" s="136"/>
      <c r="E159" s="136"/>
      <c r="F159" s="158" t="s">
        <v>265</v>
      </c>
      <c r="G159" s="158" t="s">
        <v>211</v>
      </c>
      <c r="H159" s="158">
        <v>1</v>
      </c>
      <c r="I159" s="159">
        <v>5</v>
      </c>
      <c r="J159" s="151">
        <f t="shared" si="56"/>
        <v>6.5</v>
      </c>
      <c r="K159" s="151">
        <f t="shared" si="58"/>
        <v>6.5</v>
      </c>
      <c r="L159" s="136"/>
      <c r="M159" s="101"/>
    </row>
    <row r="160" spans="2:13">
      <c r="B160" s="136"/>
      <c r="C160" s="147"/>
      <c r="D160" s="136"/>
      <c r="E160" s="136"/>
      <c r="F160" s="158" t="s">
        <v>266</v>
      </c>
      <c r="G160" s="158"/>
      <c r="H160" s="158"/>
      <c r="I160" s="159"/>
      <c r="J160" s="151">
        <f t="shared" si="56"/>
        <v>0</v>
      </c>
      <c r="K160" s="151">
        <f t="shared" si="58"/>
        <v>0</v>
      </c>
      <c r="L160" s="136"/>
      <c r="M160" s="101"/>
    </row>
    <row r="161" spans="2:15">
      <c r="B161" s="136"/>
      <c r="C161" s="147"/>
      <c r="D161" s="136"/>
      <c r="E161" s="136"/>
      <c r="F161" s="158" t="s">
        <v>267</v>
      </c>
      <c r="G161" s="158"/>
      <c r="H161" s="158"/>
      <c r="I161" s="159"/>
      <c r="J161" s="151">
        <f t="shared" si="56"/>
        <v>0</v>
      </c>
      <c r="K161" s="151">
        <f t="shared" si="58"/>
        <v>0</v>
      </c>
      <c r="L161" s="136"/>
      <c r="M161" s="101"/>
    </row>
    <row r="162" spans="2:15">
      <c r="B162" s="136"/>
      <c r="C162" s="147" t="s">
        <v>757</v>
      </c>
      <c r="D162" s="136"/>
      <c r="E162" s="136"/>
      <c r="F162" s="158" t="s">
        <v>268</v>
      </c>
      <c r="G162" s="158" t="s">
        <v>208</v>
      </c>
      <c r="H162" s="158">
        <v>4</v>
      </c>
      <c r="I162" s="159">
        <v>10</v>
      </c>
      <c r="J162" s="151">
        <f t="shared" si="56"/>
        <v>13</v>
      </c>
      <c r="K162" s="151">
        <f t="shared" si="58"/>
        <v>52</v>
      </c>
      <c r="L162" s="136"/>
      <c r="M162" s="101"/>
    </row>
    <row r="163" spans="2:15">
      <c r="B163" s="136"/>
      <c r="C163" s="147"/>
      <c r="D163" s="136"/>
      <c r="E163" s="136"/>
      <c r="F163" s="158" t="s">
        <v>269</v>
      </c>
      <c r="G163" s="158"/>
      <c r="H163" s="158"/>
      <c r="I163" s="159"/>
      <c r="J163" s="151">
        <f t="shared" si="56"/>
        <v>0</v>
      </c>
      <c r="K163" s="151">
        <f t="shared" si="58"/>
        <v>0</v>
      </c>
      <c r="L163" s="136"/>
      <c r="M163" s="101"/>
    </row>
    <row r="164" spans="2:15">
      <c r="B164" s="136"/>
      <c r="C164" s="147" t="s">
        <v>758</v>
      </c>
      <c r="D164" s="136"/>
      <c r="E164" s="136"/>
      <c r="F164" s="158" t="s">
        <v>270</v>
      </c>
      <c r="G164" s="158" t="s">
        <v>233</v>
      </c>
      <c r="H164" s="158">
        <v>10</v>
      </c>
      <c r="I164" s="159">
        <v>6</v>
      </c>
      <c r="J164" s="151">
        <f t="shared" ref="J164:J173" si="59">I164*(1+$J$4)</f>
        <v>7.8000000000000007</v>
      </c>
      <c r="K164" s="151">
        <f t="shared" si="58"/>
        <v>78</v>
      </c>
      <c r="L164" s="136"/>
      <c r="M164" s="101"/>
    </row>
    <row r="165" spans="2:15">
      <c r="B165" s="136"/>
      <c r="C165" s="147"/>
      <c r="D165" s="136"/>
      <c r="E165" s="136"/>
      <c r="F165" s="158" t="s">
        <v>271</v>
      </c>
      <c r="G165" s="158"/>
      <c r="H165" s="158"/>
      <c r="I165" s="159"/>
      <c r="J165" s="151">
        <f t="shared" si="59"/>
        <v>0</v>
      </c>
      <c r="K165" s="151">
        <f t="shared" si="58"/>
        <v>0</v>
      </c>
      <c r="L165" s="136"/>
      <c r="M165" s="101"/>
    </row>
    <row r="166" spans="2:15">
      <c r="B166" s="136"/>
      <c r="C166" s="147" t="s">
        <v>759</v>
      </c>
      <c r="D166" s="136"/>
      <c r="E166" s="136"/>
      <c r="F166" s="158" t="s">
        <v>270</v>
      </c>
      <c r="G166" s="158" t="s">
        <v>616</v>
      </c>
      <c r="H166" s="158">
        <v>40</v>
      </c>
      <c r="I166" s="159">
        <v>36.049999999999997</v>
      </c>
      <c r="J166" s="151">
        <f t="shared" si="59"/>
        <v>46.864999999999995</v>
      </c>
      <c r="K166" s="151">
        <f t="shared" si="58"/>
        <v>1874.6</v>
      </c>
      <c r="L166" s="136"/>
      <c r="M166" s="101"/>
    </row>
    <row r="167" spans="2:15">
      <c r="B167" s="136"/>
      <c r="C167" s="147"/>
      <c r="D167" s="136"/>
      <c r="E167" s="136"/>
      <c r="F167" s="158" t="s">
        <v>273</v>
      </c>
      <c r="G167" s="158"/>
      <c r="H167" s="158"/>
      <c r="I167" s="159"/>
      <c r="J167" s="151">
        <f t="shared" si="59"/>
        <v>0</v>
      </c>
      <c r="K167" s="151">
        <f t="shared" si="58"/>
        <v>0</v>
      </c>
      <c r="L167" s="136"/>
      <c r="M167" s="101"/>
    </row>
    <row r="168" spans="2:15">
      <c r="B168" s="136"/>
      <c r="C168" s="147"/>
      <c r="D168" s="136"/>
      <c r="E168" s="136"/>
      <c r="F168" s="158" t="s">
        <v>274</v>
      </c>
      <c r="G168" s="158"/>
      <c r="H168" s="158"/>
      <c r="I168" s="159"/>
      <c r="J168" s="151">
        <f t="shared" si="59"/>
        <v>0</v>
      </c>
      <c r="K168" s="151">
        <f t="shared" ref="K168:K173" si="60">J168*H168</f>
        <v>0</v>
      </c>
      <c r="L168" s="136"/>
      <c r="M168" s="101"/>
    </row>
    <row r="169" spans="2:15">
      <c r="B169" s="136"/>
      <c r="C169" s="147" t="s">
        <v>760</v>
      </c>
      <c r="D169" s="136"/>
      <c r="E169" s="136"/>
      <c r="F169" s="158" t="s">
        <v>268</v>
      </c>
      <c r="G169" s="158" t="s">
        <v>208</v>
      </c>
      <c r="H169" s="158">
        <v>4</v>
      </c>
      <c r="I169" s="159">
        <v>7.61</v>
      </c>
      <c r="J169" s="151">
        <f t="shared" si="59"/>
        <v>9.8930000000000007</v>
      </c>
      <c r="K169" s="151">
        <f t="shared" si="60"/>
        <v>39.572000000000003</v>
      </c>
      <c r="L169" s="136"/>
      <c r="M169" s="101"/>
    </row>
    <row r="170" spans="2:15">
      <c r="B170" s="136"/>
      <c r="C170" s="147"/>
      <c r="D170" s="136"/>
      <c r="E170" s="136"/>
      <c r="F170" s="158" t="s">
        <v>279</v>
      </c>
      <c r="G170" s="158"/>
      <c r="H170" s="158"/>
      <c r="I170" s="159"/>
      <c r="J170" s="151">
        <f t="shared" si="59"/>
        <v>0</v>
      </c>
      <c r="K170" s="151">
        <f t="shared" si="60"/>
        <v>0</v>
      </c>
      <c r="L170" s="136"/>
      <c r="M170" s="101"/>
    </row>
    <row r="171" spans="2:15">
      <c r="B171" s="136"/>
      <c r="C171" s="147" t="s">
        <v>761</v>
      </c>
      <c r="D171" s="136"/>
      <c r="E171" s="136"/>
      <c r="F171" s="158" t="s">
        <v>280</v>
      </c>
      <c r="G171" s="158" t="s">
        <v>211</v>
      </c>
      <c r="H171" s="158">
        <v>1</v>
      </c>
      <c r="I171" s="159">
        <v>10.5</v>
      </c>
      <c r="J171" s="151">
        <f t="shared" si="59"/>
        <v>13.65</v>
      </c>
      <c r="K171" s="151">
        <f t="shared" si="60"/>
        <v>13.65</v>
      </c>
      <c r="L171" s="136"/>
      <c r="M171" s="101"/>
    </row>
    <row r="172" spans="2:15">
      <c r="B172" s="136"/>
      <c r="C172" s="147"/>
      <c r="D172" s="136"/>
      <c r="E172" s="136"/>
      <c r="F172" s="156"/>
      <c r="G172" s="136"/>
      <c r="H172" s="151"/>
      <c r="I172" s="151"/>
      <c r="J172" s="151">
        <f t="shared" si="59"/>
        <v>0</v>
      </c>
      <c r="K172" s="151">
        <f t="shared" si="60"/>
        <v>0</v>
      </c>
      <c r="L172" s="136"/>
      <c r="M172" s="101"/>
    </row>
    <row r="173" spans="2:15">
      <c r="B173" s="136"/>
      <c r="C173" s="147">
        <v>12</v>
      </c>
      <c r="D173" s="136"/>
      <c r="E173" s="136"/>
      <c r="F173" s="156" t="s">
        <v>670</v>
      </c>
      <c r="G173" s="136"/>
      <c r="H173" s="151"/>
      <c r="I173" s="151"/>
      <c r="J173" s="151">
        <f t="shared" si="59"/>
        <v>0</v>
      </c>
      <c r="K173" s="151">
        <f t="shared" si="60"/>
        <v>0</v>
      </c>
      <c r="L173" s="137">
        <f>SUM(K174:K256)</f>
        <v>22338.913999999997</v>
      </c>
      <c r="M173" s="101"/>
    </row>
    <row r="174" spans="2:15">
      <c r="B174" s="136"/>
      <c r="C174" s="147"/>
      <c r="D174" s="136"/>
      <c r="E174" s="136"/>
      <c r="F174" s="160" t="s">
        <v>58</v>
      </c>
      <c r="G174" s="160"/>
      <c r="H174" s="158"/>
      <c r="I174" s="158"/>
      <c r="J174" s="151"/>
      <c r="K174" s="151"/>
      <c r="L174" s="136"/>
      <c r="M174" s="101"/>
      <c r="N174" s="121"/>
      <c r="O174" s="121"/>
    </row>
    <row r="175" spans="2:15">
      <c r="B175" s="136"/>
      <c r="C175" s="147" t="s">
        <v>762</v>
      </c>
      <c r="D175" s="136"/>
      <c r="E175" s="136"/>
      <c r="F175" s="160" t="s">
        <v>59</v>
      </c>
      <c r="G175" s="161" t="s">
        <v>617</v>
      </c>
      <c r="H175" s="158">
        <f>37+9</f>
        <v>46</v>
      </c>
      <c r="I175" s="158"/>
      <c r="J175" s="151"/>
      <c r="K175" s="151"/>
      <c r="L175" s="136"/>
      <c r="M175" s="101"/>
      <c r="N175" s="121"/>
      <c r="O175" s="122"/>
    </row>
    <row r="176" spans="2:15" ht="25.5">
      <c r="B176" s="136"/>
      <c r="C176" s="147"/>
      <c r="D176" s="136"/>
      <c r="E176" s="136"/>
      <c r="F176" s="160" t="s">
        <v>624</v>
      </c>
      <c r="G176" s="161"/>
      <c r="H176" s="158">
        <v>46</v>
      </c>
      <c r="I176" s="158">
        <v>12.57</v>
      </c>
      <c r="J176" s="151">
        <f t="shared" ref="J176" si="61">I176*(1+$J$4)</f>
        <v>16.341000000000001</v>
      </c>
      <c r="K176" s="151">
        <f t="shared" ref="K176" si="62">J176*H176</f>
        <v>751.68600000000004</v>
      </c>
      <c r="L176" s="136"/>
      <c r="M176" s="101"/>
      <c r="N176" s="121"/>
      <c r="O176" s="122"/>
    </row>
    <row r="177" spans="2:15">
      <c r="B177" s="136"/>
      <c r="C177" s="147"/>
      <c r="D177" s="136"/>
      <c r="E177" s="136"/>
      <c r="F177" s="160" t="s">
        <v>85</v>
      </c>
      <c r="G177" s="160"/>
      <c r="H177" s="158"/>
      <c r="I177" s="158"/>
      <c r="J177" s="151">
        <f t="shared" ref="J177:J226" si="63">I177*(1+$J$4)</f>
        <v>0</v>
      </c>
      <c r="K177" s="151">
        <f t="shared" ref="K177:K226" si="64">J177*H177</f>
        <v>0</v>
      </c>
      <c r="L177" s="136"/>
      <c r="M177" s="101"/>
      <c r="N177" s="121"/>
      <c r="O177" s="121"/>
    </row>
    <row r="178" spans="2:15">
      <c r="B178" s="136"/>
      <c r="C178" s="147"/>
      <c r="D178" s="136"/>
      <c r="E178" s="136"/>
      <c r="F178" s="160" t="s">
        <v>86</v>
      </c>
      <c r="G178" s="160"/>
      <c r="H178" s="158"/>
      <c r="I178" s="158"/>
      <c r="J178" s="151">
        <f t="shared" si="63"/>
        <v>0</v>
      </c>
      <c r="K178" s="151">
        <f t="shared" si="64"/>
        <v>0</v>
      </c>
      <c r="L178" s="136"/>
      <c r="M178" s="101"/>
      <c r="N178" s="121"/>
      <c r="O178" s="121"/>
    </row>
    <row r="179" spans="2:15" ht="38.25">
      <c r="B179" s="136"/>
      <c r="C179" s="147"/>
      <c r="D179" s="136"/>
      <c r="E179" s="136"/>
      <c r="F179" s="160" t="s">
        <v>628</v>
      </c>
      <c r="G179" s="160"/>
      <c r="H179" s="158"/>
      <c r="I179" s="158"/>
      <c r="J179" s="151"/>
      <c r="K179" s="151"/>
      <c r="L179" s="136"/>
      <c r="M179" s="101"/>
      <c r="N179" s="121"/>
      <c r="O179" s="121"/>
    </row>
    <row r="180" spans="2:15">
      <c r="B180" s="136"/>
      <c r="C180" s="147" t="s">
        <v>763</v>
      </c>
      <c r="D180" s="136"/>
      <c r="E180" s="136"/>
      <c r="F180" s="160" t="s">
        <v>87</v>
      </c>
      <c r="G180" s="161" t="s">
        <v>618</v>
      </c>
      <c r="H180" s="162">
        <v>600</v>
      </c>
      <c r="I180" s="158">
        <v>2.31</v>
      </c>
      <c r="J180" s="151">
        <f t="shared" si="63"/>
        <v>3.0030000000000001</v>
      </c>
      <c r="K180" s="151">
        <f t="shared" si="64"/>
        <v>1801.8000000000002</v>
      </c>
      <c r="L180" s="136"/>
      <c r="M180" s="101"/>
      <c r="N180" s="121"/>
      <c r="O180" s="122"/>
    </row>
    <row r="181" spans="2:15">
      <c r="B181" s="136"/>
      <c r="C181" s="147" t="s">
        <v>764</v>
      </c>
      <c r="D181" s="136"/>
      <c r="E181" s="136"/>
      <c r="F181" s="160" t="s">
        <v>89</v>
      </c>
      <c r="G181" s="161" t="s">
        <v>619</v>
      </c>
      <c r="H181" s="158">
        <v>200</v>
      </c>
      <c r="I181" s="158">
        <v>7.41</v>
      </c>
      <c r="J181" s="151">
        <f t="shared" si="63"/>
        <v>9.6330000000000009</v>
      </c>
      <c r="K181" s="151">
        <f t="shared" si="64"/>
        <v>1926.6000000000001</v>
      </c>
      <c r="L181" s="136"/>
      <c r="M181" s="101"/>
      <c r="N181" s="121"/>
      <c r="O181" s="122"/>
    </row>
    <row r="182" spans="2:15">
      <c r="B182" s="136"/>
      <c r="C182" s="147" t="s">
        <v>765</v>
      </c>
      <c r="D182" s="136"/>
      <c r="E182" s="136"/>
      <c r="F182" s="160" t="s">
        <v>91</v>
      </c>
      <c r="G182" s="161" t="s">
        <v>92</v>
      </c>
      <c r="H182" s="162">
        <v>500</v>
      </c>
      <c r="I182" s="158">
        <v>3.08</v>
      </c>
      <c r="J182" s="151">
        <f t="shared" si="63"/>
        <v>4.0040000000000004</v>
      </c>
      <c r="K182" s="151">
        <f t="shared" si="64"/>
        <v>2002.0000000000002</v>
      </c>
      <c r="L182" s="136"/>
      <c r="M182" s="101"/>
      <c r="N182" s="121"/>
      <c r="O182" s="122"/>
    </row>
    <row r="183" spans="2:15">
      <c r="B183" s="136"/>
      <c r="C183" s="147" t="s">
        <v>12</v>
      </c>
      <c r="D183" s="136"/>
      <c r="E183" s="136"/>
      <c r="F183" s="160" t="s">
        <v>97</v>
      </c>
      <c r="G183" s="161" t="s">
        <v>98</v>
      </c>
      <c r="H183" s="162">
        <v>200</v>
      </c>
      <c r="I183" s="158">
        <v>5.73</v>
      </c>
      <c r="J183" s="151">
        <f t="shared" si="63"/>
        <v>7.4490000000000007</v>
      </c>
      <c r="K183" s="151">
        <f t="shared" si="64"/>
        <v>1489.8000000000002</v>
      </c>
      <c r="L183" s="136"/>
      <c r="M183" s="101"/>
      <c r="N183" s="121"/>
      <c r="O183" s="122"/>
    </row>
    <row r="184" spans="2:15">
      <c r="B184" s="136"/>
      <c r="C184" s="147"/>
      <c r="D184" s="136"/>
      <c r="E184" s="136"/>
      <c r="F184" s="160"/>
      <c r="G184" s="160"/>
      <c r="H184" s="162"/>
      <c r="I184" s="158"/>
      <c r="J184" s="151">
        <f t="shared" si="63"/>
        <v>0</v>
      </c>
      <c r="K184" s="151">
        <f t="shared" si="64"/>
        <v>0</v>
      </c>
      <c r="L184" s="136"/>
      <c r="M184" s="101"/>
      <c r="N184" s="121"/>
      <c r="O184" s="121"/>
    </row>
    <row r="185" spans="2:15">
      <c r="B185" s="136"/>
      <c r="C185" s="147"/>
      <c r="D185" s="136"/>
      <c r="E185" s="136"/>
      <c r="F185" s="160" t="s">
        <v>103</v>
      </c>
      <c r="G185" s="160"/>
      <c r="H185" s="162"/>
      <c r="I185" s="158"/>
      <c r="J185" s="151">
        <f t="shared" si="63"/>
        <v>0</v>
      </c>
      <c r="K185" s="151">
        <f t="shared" si="64"/>
        <v>0</v>
      </c>
      <c r="L185" s="136"/>
      <c r="M185" s="101"/>
      <c r="N185" s="121"/>
      <c r="O185" s="121"/>
    </row>
    <row r="186" spans="2:15" ht="25.5">
      <c r="B186" s="136"/>
      <c r="C186" s="147"/>
      <c r="D186" s="136"/>
      <c r="E186" s="136"/>
      <c r="F186" s="160" t="s">
        <v>629</v>
      </c>
      <c r="G186" s="160"/>
      <c r="H186" s="158"/>
      <c r="I186" s="158"/>
      <c r="J186" s="151">
        <f t="shared" si="63"/>
        <v>0</v>
      </c>
      <c r="K186" s="151">
        <f t="shared" si="64"/>
        <v>0</v>
      </c>
      <c r="L186" s="136"/>
      <c r="M186" s="101"/>
      <c r="N186" s="121"/>
      <c r="O186" s="121"/>
    </row>
    <row r="187" spans="2:15">
      <c r="B187" s="136"/>
      <c r="C187" s="147" t="s">
        <v>766</v>
      </c>
      <c r="D187" s="136"/>
      <c r="E187" s="136"/>
      <c r="F187" s="160" t="s">
        <v>105</v>
      </c>
      <c r="G187" s="161" t="s">
        <v>70</v>
      </c>
      <c r="H187" s="158">
        <v>4</v>
      </c>
      <c r="I187" s="158">
        <v>30</v>
      </c>
      <c r="J187" s="151">
        <f t="shared" si="63"/>
        <v>39</v>
      </c>
      <c r="K187" s="151">
        <f t="shared" si="64"/>
        <v>156</v>
      </c>
      <c r="L187" s="136"/>
      <c r="M187" s="101"/>
      <c r="N187" s="121"/>
      <c r="O187" s="122"/>
    </row>
    <row r="188" spans="2:15">
      <c r="B188" s="136"/>
      <c r="C188" s="147"/>
      <c r="D188" s="136"/>
      <c r="E188" s="136"/>
      <c r="F188" s="160"/>
      <c r="G188" s="161"/>
      <c r="H188" s="158"/>
      <c r="I188" s="158"/>
      <c r="J188" s="151"/>
      <c r="K188" s="151"/>
      <c r="L188" s="136"/>
      <c r="M188" s="101"/>
      <c r="N188" s="121"/>
      <c r="O188" s="122"/>
    </row>
    <row r="189" spans="2:15">
      <c r="B189" s="136"/>
      <c r="C189" s="147"/>
      <c r="D189" s="136"/>
      <c r="E189" s="136"/>
      <c r="F189" s="160" t="s">
        <v>114</v>
      </c>
      <c r="G189" s="160"/>
      <c r="H189" s="158"/>
      <c r="I189" s="158"/>
      <c r="J189" s="151">
        <f t="shared" si="63"/>
        <v>0</v>
      </c>
      <c r="K189" s="151">
        <f t="shared" si="64"/>
        <v>0</v>
      </c>
      <c r="L189" s="136"/>
      <c r="M189" s="101"/>
      <c r="N189" s="121"/>
      <c r="O189" s="121"/>
    </row>
    <row r="190" spans="2:15">
      <c r="B190" s="136"/>
      <c r="C190" s="147"/>
      <c r="D190" s="136"/>
      <c r="E190" s="136"/>
      <c r="F190" s="160"/>
      <c r="G190" s="160"/>
      <c r="H190" s="162"/>
      <c r="I190" s="158"/>
      <c r="J190" s="151">
        <f t="shared" si="63"/>
        <v>0</v>
      </c>
      <c r="K190" s="151">
        <f t="shared" si="64"/>
        <v>0</v>
      </c>
      <c r="L190" s="136"/>
      <c r="M190" s="101"/>
      <c r="N190" s="121"/>
      <c r="O190" s="121"/>
    </row>
    <row r="191" spans="2:15">
      <c r="B191" s="136"/>
      <c r="C191" s="147"/>
      <c r="D191" s="136"/>
      <c r="E191" s="136"/>
      <c r="F191" s="160"/>
      <c r="G191" s="160"/>
      <c r="H191" s="162"/>
      <c r="I191" s="158"/>
      <c r="J191" s="151">
        <f t="shared" si="63"/>
        <v>0</v>
      </c>
      <c r="K191" s="151">
        <f t="shared" si="64"/>
        <v>0</v>
      </c>
      <c r="L191" s="136"/>
      <c r="M191" s="101"/>
      <c r="N191" s="121"/>
      <c r="O191" s="121"/>
    </row>
    <row r="192" spans="2:15">
      <c r="B192" s="136"/>
      <c r="C192" s="147"/>
      <c r="D192" s="136"/>
      <c r="E192" s="136"/>
      <c r="F192" s="160"/>
      <c r="G192" s="160"/>
      <c r="H192" s="162"/>
      <c r="I192" s="158"/>
      <c r="J192" s="151">
        <f t="shared" si="63"/>
        <v>0</v>
      </c>
      <c r="K192" s="151">
        <f t="shared" si="64"/>
        <v>0</v>
      </c>
      <c r="L192" s="136"/>
      <c r="M192" s="101"/>
      <c r="N192" s="121"/>
      <c r="O192" s="121"/>
    </row>
    <row r="193" spans="2:15">
      <c r="B193" s="136"/>
      <c r="C193" s="147"/>
      <c r="D193" s="136"/>
      <c r="E193" s="136"/>
      <c r="F193" s="160"/>
      <c r="G193" s="161"/>
      <c r="H193" s="162"/>
      <c r="I193" s="158"/>
      <c r="J193" s="151">
        <f t="shared" si="63"/>
        <v>0</v>
      </c>
      <c r="K193" s="151">
        <f t="shared" si="64"/>
        <v>0</v>
      </c>
      <c r="L193" s="136"/>
      <c r="M193" s="101"/>
      <c r="N193" s="121"/>
      <c r="O193" s="122"/>
    </row>
    <row r="194" spans="2:15" ht="25.5">
      <c r="B194" s="136"/>
      <c r="C194" s="147"/>
      <c r="D194" s="136"/>
      <c r="E194" s="136"/>
      <c r="F194" s="160" t="s">
        <v>627</v>
      </c>
      <c r="G194" s="160"/>
      <c r="H194" s="158"/>
      <c r="I194" s="158"/>
      <c r="J194" s="151">
        <f t="shared" si="63"/>
        <v>0</v>
      </c>
      <c r="K194" s="151">
        <f t="shared" si="64"/>
        <v>0</v>
      </c>
      <c r="L194" s="136"/>
      <c r="M194" s="101"/>
      <c r="N194" s="121"/>
      <c r="O194" s="121"/>
    </row>
    <row r="195" spans="2:15">
      <c r="B195" s="136"/>
      <c r="C195" s="147" t="s">
        <v>767</v>
      </c>
      <c r="D195" s="136"/>
      <c r="E195" s="136"/>
      <c r="F195" s="160" t="s">
        <v>625</v>
      </c>
      <c r="G195" s="161" t="s">
        <v>621</v>
      </c>
      <c r="H195" s="162">
        <v>26</v>
      </c>
      <c r="I195" s="158">
        <v>35</v>
      </c>
      <c r="J195" s="151">
        <f t="shared" si="63"/>
        <v>45.5</v>
      </c>
      <c r="K195" s="151">
        <f t="shared" si="64"/>
        <v>1183</v>
      </c>
      <c r="L195" s="136"/>
      <c r="M195" s="101"/>
      <c r="N195" s="121"/>
      <c r="O195" s="122"/>
    </row>
    <row r="196" spans="2:15">
      <c r="B196" s="136"/>
      <c r="C196" s="147" t="s">
        <v>768</v>
      </c>
      <c r="D196" s="136"/>
      <c r="E196" s="136"/>
      <c r="F196" s="160" t="s">
        <v>626</v>
      </c>
      <c r="G196" s="161" t="s">
        <v>620</v>
      </c>
      <c r="H196" s="162">
        <v>24</v>
      </c>
      <c r="I196" s="158">
        <v>35</v>
      </c>
      <c r="J196" s="151">
        <f t="shared" si="63"/>
        <v>45.5</v>
      </c>
      <c r="K196" s="151">
        <f t="shared" si="64"/>
        <v>1092</v>
      </c>
      <c r="L196" s="136"/>
      <c r="M196" s="101"/>
      <c r="N196" s="121"/>
      <c r="O196" s="122"/>
    </row>
    <row r="197" spans="2:15">
      <c r="B197" s="136"/>
      <c r="C197" s="147"/>
      <c r="D197" s="136"/>
      <c r="E197" s="136"/>
      <c r="F197" s="160"/>
      <c r="G197" s="161"/>
      <c r="H197" s="158"/>
      <c r="I197" s="158"/>
      <c r="J197" s="151">
        <f t="shared" si="63"/>
        <v>0</v>
      </c>
      <c r="K197" s="151">
        <f t="shared" si="64"/>
        <v>0</v>
      </c>
      <c r="L197" s="136"/>
      <c r="M197" s="101"/>
      <c r="N197" s="121"/>
      <c r="O197" s="122"/>
    </row>
    <row r="198" spans="2:15">
      <c r="B198" s="136"/>
      <c r="C198" s="147"/>
      <c r="D198" s="136"/>
      <c r="E198" s="136"/>
      <c r="F198" s="160" t="s">
        <v>114</v>
      </c>
      <c r="G198" s="160"/>
      <c r="H198" s="158"/>
      <c r="I198" s="158"/>
      <c r="J198" s="151">
        <f t="shared" si="63"/>
        <v>0</v>
      </c>
      <c r="K198" s="151">
        <f t="shared" si="64"/>
        <v>0</v>
      </c>
      <c r="L198" s="136"/>
      <c r="M198" s="101"/>
      <c r="N198" s="121"/>
      <c r="O198" s="121"/>
    </row>
    <row r="199" spans="2:15">
      <c r="B199" s="136"/>
      <c r="C199" s="147"/>
      <c r="D199" s="136"/>
      <c r="E199" s="136"/>
      <c r="F199" s="160" t="s">
        <v>115</v>
      </c>
      <c r="G199" s="160"/>
      <c r="H199" s="158"/>
      <c r="I199" s="158"/>
      <c r="J199" s="151">
        <f t="shared" si="63"/>
        <v>0</v>
      </c>
      <c r="K199" s="151">
        <f t="shared" si="64"/>
        <v>0</v>
      </c>
      <c r="L199" s="136"/>
      <c r="M199" s="101"/>
      <c r="N199" s="121"/>
      <c r="O199" s="121"/>
    </row>
    <row r="200" spans="2:15">
      <c r="B200" s="136"/>
      <c r="C200" s="147"/>
      <c r="D200" s="136"/>
      <c r="E200" s="136"/>
      <c r="F200" s="160" t="s">
        <v>116</v>
      </c>
      <c r="G200" s="161" t="s">
        <v>70</v>
      </c>
      <c r="H200" s="158">
        <v>4</v>
      </c>
      <c r="I200" s="158">
        <v>50</v>
      </c>
      <c r="J200" s="151">
        <f t="shared" si="63"/>
        <v>65</v>
      </c>
      <c r="K200" s="151">
        <f t="shared" si="64"/>
        <v>260</v>
      </c>
      <c r="L200" s="136"/>
      <c r="M200" s="101"/>
      <c r="N200" s="121"/>
      <c r="O200" s="122"/>
    </row>
    <row r="201" spans="2:15">
      <c r="B201" s="136"/>
      <c r="C201" s="147"/>
      <c r="D201" s="136"/>
      <c r="E201" s="136"/>
      <c r="F201" s="160"/>
      <c r="G201" s="161"/>
      <c r="H201" s="162"/>
      <c r="I201" s="158"/>
      <c r="J201" s="151">
        <f t="shared" si="63"/>
        <v>0</v>
      </c>
      <c r="K201" s="151">
        <f t="shared" si="64"/>
        <v>0</v>
      </c>
      <c r="L201" s="136"/>
      <c r="M201" s="101"/>
      <c r="N201" s="121"/>
      <c r="O201" s="122"/>
    </row>
    <row r="202" spans="2:15">
      <c r="B202" s="136"/>
      <c r="C202" s="147"/>
      <c r="D202" s="136"/>
      <c r="E202" s="136"/>
      <c r="F202" s="160" t="s">
        <v>121</v>
      </c>
      <c r="G202" s="160"/>
      <c r="H202" s="162"/>
      <c r="I202" s="158"/>
      <c r="J202" s="151">
        <f t="shared" si="63"/>
        <v>0</v>
      </c>
      <c r="K202" s="151">
        <f t="shared" si="64"/>
        <v>0</v>
      </c>
      <c r="L202" s="136"/>
      <c r="M202" s="101"/>
      <c r="N202" s="121"/>
      <c r="O202" s="121"/>
    </row>
    <row r="203" spans="2:15">
      <c r="B203" s="136"/>
      <c r="C203" s="147"/>
      <c r="D203" s="136"/>
      <c r="E203" s="136"/>
      <c r="F203" s="160" t="s">
        <v>122</v>
      </c>
      <c r="G203" s="160"/>
      <c r="H203" s="162"/>
      <c r="I203" s="158"/>
      <c r="J203" s="151">
        <f t="shared" si="63"/>
        <v>0</v>
      </c>
      <c r="K203" s="151">
        <f t="shared" si="64"/>
        <v>0</v>
      </c>
      <c r="L203" s="136"/>
      <c r="M203" s="101"/>
      <c r="N203" s="121"/>
      <c r="O203" s="121"/>
    </row>
    <row r="204" spans="2:15">
      <c r="B204" s="136"/>
      <c r="C204" s="147" t="s">
        <v>769</v>
      </c>
      <c r="D204" s="136"/>
      <c r="E204" s="136"/>
      <c r="F204" s="160" t="s">
        <v>123</v>
      </c>
      <c r="G204" s="161" t="s">
        <v>620</v>
      </c>
      <c r="H204" s="158">
        <v>13</v>
      </c>
      <c r="I204" s="158">
        <v>12.91</v>
      </c>
      <c r="J204" s="151">
        <f t="shared" si="63"/>
        <v>16.783000000000001</v>
      </c>
      <c r="K204" s="151">
        <f t="shared" si="64"/>
        <v>218.17900000000003</v>
      </c>
      <c r="L204" s="136"/>
      <c r="M204" s="101"/>
      <c r="N204" s="121"/>
      <c r="O204" s="122"/>
    </row>
    <row r="205" spans="2:15">
      <c r="B205" s="136"/>
      <c r="C205" s="147" t="s">
        <v>770</v>
      </c>
      <c r="D205" s="136"/>
      <c r="E205" s="136"/>
      <c r="F205" s="160" t="s">
        <v>126</v>
      </c>
      <c r="G205" s="161" t="s">
        <v>113</v>
      </c>
      <c r="H205" s="158">
        <v>2</v>
      </c>
      <c r="I205" s="158">
        <v>19.649999999999999</v>
      </c>
      <c r="J205" s="151">
        <f t="shared" si="63"/>
        <v>25.544999999999998</v>
      </c>
      <c r="K205" s="151">
        <f t="shared" si="64"/>
        <v>51.089999999999996</v>
      </c>
      <c r="L205" s="136"/>
      <c r="M205" s="101"/>
      <c r="N205" s="121"/>
      <c r="O205" s="122"/>
    </row>
    <row r="206" spans="2:15">
      <c r="B206" s="136"/>
      <c r="C206" s="147"/>
      <c r="D206" s="136"/>
      <c r="E206" s="136"/>
      <c r="F206" s="160"/>
      <c r="G206" s="161"/>
      <c r="H206" s="158"/>
      <c r="I206" s="158"/>
      <c r="J206" s="151">
        <f t="shared" si="63"/>
        <v>0</v>
      </c>
      <c r="K206" s="151">
        <f t="shared" si="64"/>
        <v>0</v>
      </c>
      <c r="L206" s="136"/>
      <c r="M206" s="101"/>
      <c r="N206" s="121"/>
      <c r="O206" s="122"/>
    </row>
    <row r="207" spans="2:15">
      <c r="B207" s="136"/>
      <c r="C207" s="147"/>
      <c r="D207" s="136"/>
      <c r="E207" s="136"/>
      <c r="F207" s="160" t="s">
        <v>128</v>
      </c>
      <c r="G207" s="160"/>
      <c r="H207" s="158"/>
      <c r="I207" s="158"/>
      <c r="J207" s="151">
        <f t="shared" si="63"/>
        <v>0</v>
      </c>
      <c r="K207" s="151">
        <f t="shared" si="64"/>
        <v>0</v>
      </c>
      <c r="L207" s="136"/>
      <c r="M207" s="101"/>
      <c r="N207" s="121"/>
      <c r="O207" s="121"/>
    </row>
    <row r="208" spans="2:15" ht="25.5">
      <c r="B208" s="136"/>
      <c r="C208" s="147"/>
      <c r="D208" s="136"/>
      <c r="E208" s="136"/>
      <c r="F208" s="160" t="s">
        <v>630</v>
      </c>
      <c r="G208" s="160"/>
      <c r="H208" s="158"/>
      <c r="I208" s="158"/>
      <c r="J208" s="151">
        <f t="shared" si="63"/>
        <v>0</v>
      </c>
      <c r="K208" s="151">
        <f t="shared" si="64"/>
        <v>0</v>
      </c>
      <c r="L208" s="136"/>
      <c r="M208" s="101"/>
      <c r="N208" s="121"/>
      <c r="O208" s="121"/>
    </row>
    <row r="209" spans="2:15">
      <c r="B209" s="136"/>
      <c r="C209" s="147" t="s">
        <v>771</v>
      </c>
      <c r="D209" s="136"/>
      <c r="E209" s="136"/>
      <c r="F209" s="160" t="s">
        <v>72</v>
      </c>
      <c r="G209" s="161" t="s">
        <v>130</v>
      </c>
      <c r="H209" s="158">
        <v>21</v>
      </c>
      <c r="I209" s="158">
        <v>8.8000000000000007</v>
      </c>
      <c r="J209" s="151">
        <f t="shared" si="63"/>
        <v>11.440000000000001</v>
      </c>
      <c r="K209" s="151">
        <f t="shared" si="64"/>
        <v>240.24000000000004</v>
      </c>
      <c r="L209" s="136"/>
      <c r="M209" s="101"/>
      <c r="N209" s="121"/>
      <c r="O209" s="122"/>
    </row>
    <row r="210" spans="2:15">
      <c r="B210" s="136"/>
      <c r="C210" s="147" t="s">
        <v>772</v>
      </c>
      <c r="D210" s="136"/>
      <c r="E210" s="136"/>
      <c r="F210" s="160" t="s">
        <v>131</v>
      </c>
      <c r="G210" s="161" t="s">
        <v>622</v>
      </c>
      <c r="H210" s="158">
        <v>230</v>
      </c>
      <c r="I210" s="158">
        <v>6.82</v>
      </c>
      <c r="J210" s="151">
        <f t="shared" si="63"/>
        <v>8.8660000000000014</v>
      </c>
      <c r="K210" s="151">
        <f t="shared" si="64"/>
        <v>2039.1800000000003</v>
      </c>
      <c r="L210" s="136"/>
      <c r="M210" s="101"/>
      <c r="N210" s="121"/>
      <c r="O210" s="122"/>
    </row>
    <row r="211" spans="2:15">
      <c r="B211" s="136"/>
      <c r="C211" s="147"/>
      <c r="D211" s="136"/>
      <c r="E211" s="136"/>
      <c r="F211" s="160" t="s">
        <v>133</v>
      </c>
      <c r="G211" s="160"/>
      <c r="H211" s="158"/>
      <c r="I211" s="158"/>
      <c r="J211" s="151">
        <f t="shared" si="63"/>
        <v>0</v>
      </c>
      <c r="K211" s="151">
        <f t="shared" si="64"/>
        <v>0</v>
      </c>
      <c r="L211" s="136"/>
      <c r="M211" s="101"/>
      <c r="N211" s="121"/>
      <c r="O211" s="121"/>
    </row>
    <row r="212" spans="2:15">
      <c r="B212" s="136"/>
      <c r="C212" s="147" t="s">
        <v>773</v>
      </c>
      <c r="D212" s="136"/>
      <c r="E212" s="136"/>
      <c r="F212" s="160" t="s">
        <v>67</v>
      </c>
      <c r="G212" s="161" t="s">
        <v>134</v>
      </c>
      <c r="H212" s="158">
        <v>30</v>
      </c>
      <c r="I212" s="158">
        <v>20</v>
      </c>
      <c r="J212" s="151">
        <f t="shared" si="63"/>
        <v>26</v>
      </c>
      <c r="K212" s="151">
        <f t="shared" si="64"/>
        <v>780</v>
      </c>
      <c r="L212" s="136"/>
      <c r="M212" s="101"/>
      <c r="N212" s="121"/>
      <c r="O212" s="122"/>
    </row>
    <row r="213" spans="2:15">
      <c r="B213" s="136"/>
      <c r="C213" s="147" t="s">
        <v>774</v>
      </c>
      <c r="D213" s="136"/>
      <c r="E213" s="136"/>
      <c r="F213" s="160" t="s">
        <v>135</v>
      </c>
      <c r="G213" s="161" t="s">
        <v>136</v>
      </c>
      <c r="H213" s="162">
        <v>50</v>
      </c>
      <c r="I213" s="158">
        <v>25</v>
      </c>
      <c r="J213" s="151">
        <f t="shared" si="63"/>
        <v>32.5</v>
      </c>
      <c r="K213" s="151">
        <f t="shared" si="64"/>
        <v>1625</v>
      </c>
      <c r="L213" s="136"/>
      <c r="M213" s="101"/>
      <c r="N213" s="121"/>
      <c r="O213" s="122"/>
    </row>
    <row r="214" spans="2:15">
      <c r="B214" s="136"/>
      <c r="C214" s="147"/>
      <c r="D214" s="136"/>
      <c r="E214" s="136"/>
      <c r="F214" s="160"/>
      <c r="G214" s="161"/>
      <c r="H214" s="158"/>
      <c r="I214" s="158"/>
      <c r="J214" s="151">
        <f t="shared" si="63"/>
        <v>0</v>
      </c>
      <c r="K214" s="151">
        <f t="shared" si="64"/>
        <v>0</v>
      </c>
      <c r="L214" s="136"/>
      <c r="M214" s="101"/>
      <c r="N214" s="121"/>
      <c r="O214" s="122"/>
    </row>
    <row r="215" spans="2:15">
      <c r="B215" s="136"/>
      <c r="C215" s="147"/>
      <c r="D215" s="136"/>
      <c r="E215" s="136"/>
      <c r="F215" s="160" t="s">
        <v>141</v>
      </c>
      <c r="G215" s="160"/>
      <c r="H215" s="158"/>
      <c r="I215" s="158"/>
      <c r="J215" s="151">
        <f t="shared" si="63"/>
        <v>0</v>
      </c>
      <c r="K215" s="151">
        <f t="shared" si="64"/>
        <v>0</v>
      </c>
      <c r="L215" s="136"/>
      <c r="M215" s="101"/>
      <c r="N215" s="121"/>
      <c r="O215" s="121"/>
    </row>
    <row r="216" spans="2:15">
      <c r="B216" s="136"/>
      <c r="C216" s="147"/>
      <c r="D216" s="136"/>
      <c r="E216" s="136"/>
      <c r="F216" s="136"/>
      <c r="G216" s="136"/>
      <c r="H216" s="136"/>
      <c r="I216" s="158"/>
      <c r="J216" s="151">
        <f t="shared" si="63"/>
        <v>0</v>
      </c>
      <c r="K216" s="151">
        <f t="shared" si="64"/>
        <v>0</v>
      </c>
      <c r="L216" s="136"/>
      <c r="M216" s="101"/>
      <c r="N216" s="121"/>
      <c r="O216" s="122"/>
    </row>
    <row r="217" spans="2:15">
      <c r="B217" s="136"/>
      <c r="C217" s="147" t="s">
        <v>775</v>
      </c>
      <c r="D217" s="136"/>
      <c r="E217" s="136"/>
      <c r="F217" s="160" t="s">
        <v>69</v>
      </c>
      <c r="G217" s="161" t="s">
        <v>623</v>
      </c>
      <c r="H217" s="158">
        <v>20</v>
      </c>
      <c r="I217" s="158">
        <v>7.27</v>
      </c>
      <c r="J217" s="151">
        <f t="shared" si="63"/>
        <v>9.4510000000000005</v>
      </c>
      <c r="K217" s="151">
        <f t="shared" si="64"/>
        <v>189.02</v>
      </c>
      <c r="L217" s="136"/>
      <c r="M217" s="101"/>
      <c r="N217" s="121"/>
      <c r="O217" s="122"/>
    </row>
    <row r="218" spans="2:15">
      <c r="B218" s="136"/>
      <c r="C218" s="147" t="s">
        <v>776</v>
      </c>
      <c r="D218" s="136"/>
      <c r="E218" s="136"/>
      <c r="F218" s="160" t="s">
        <v>131</v>
      </c>
      <c r="G218" s="161" t="s">
        <v>150</v>
      </c>
      <c r="H218" s="158">
        <v>80</v>
      </c>
      <c r="I218" s="158">
        <v>8.5299999999999994</v>
      </c>
      <c r="J218" s="151">
        <f t="shared" si="63"/>
        <v>11.089</v>
      </c>
      <c r="K218" s="151">
        <f t="shared" si="64"/>
        <v>887.12</v>
      </c>
      <c r="L218" s="136"/>
      <c r="M218" s="101"/>
      <c r="N218" s="121"/>
      <c r="O218" s="122"/>
    </row>
    <row r="219" spans="2:15">
      <c r="B219" s="136"/>
      <c r="C219" s="147" t="s">
        <v>777</v>
      </c>
      <c r="D219" s="136"/>
      <c r="E219" s="136"/>
      <c r="F219" s="160" t="s">
        <v>67</v>
      </c>
      <c r="G219" s="161" t="s">
        <v>142</v>
      </c>
      <c r="H219" s="158">
        <v>10</v>
      </c>
      <c r="I219" s="158">
        <v>13.76</v>
      </c>
      <c r="J219" s="151">
        <f t="shared" si="63"/>
        <v>17.888000000000002</v>
      </c>
      <c r="K219" s="151">
        <f t="shared" si="64"/>
        <v>178.88000000000002</v>
      </c>
      <c r="L219" s="136"/>
      <c r="M219" s="101"/>
      <c r="N219" s="121"/>
      <c r="O219" s="122"/>
    </row>
    <row r="220" spans="2:15">
      <c r="B220" s="136"/>
      <c r="C220" s="147" t="s">
        <v>778</v>
      </c>
      <c r="D220" s="136"/>
      <c r="E220" s="136"/>
      <c r="F220" s="160" t="s">
        <v>135</v>
      </c>
      <c r="G220" s="161" t="s">
        <v>144</v>
      </c>
      <c r="H220" s="158">
        <v>6</v>
      </c>
      <c r="I220" s="158">
        <v>16.71</v>
      </c>
      <c r="J220" s="151">
        <f t="shared" si="63"/>
        <v>21.723000000000003</v>
      </c>
      <c r="K220" s="151">
        <f t="shared" si="64"/>
        <v>130.33800000000002</v>
      </c>
      <c r="L220" s="136"/>
      <c r="M220" s="101"/>
      <c r="N220" s="121"/>
      <c r="O220" s="121"/>
    </row>
    <row r="221" spans="2:15">
      <c r="B221" s="136"/>
      <c r="C221" s="147" t="s">
        <v>779</v>
      </c>
      <c r="D221" s="136"/>
      <c r="E221" s="136"/>
      <c r="F221" s="160" t="s">
        <v>145</v>
      </c>
      <c r="G221" s="161" t="s">
        <v>146</v>
      </c>
      <c r="H221" s="162">
        <v>3</v>
      </c>
      <c r="I221" s="158">
        <v>22.92</v>
      </c>
      <c r="J221" s="151">
        <f t="shared" si="63"/>
        <v>29.796000000000003</v>
      </c>
      <c r="K221" s="151">
        <f t="shared" si="64"/>
        <v>89.388000000000005</v>
      </c>
      <c r="L221" s="136"/>
      <c r="M221" s="101"/>
      <c r="N221" s="121"/>
      <c r="O221" s="121"/>
    </row>
    <row r="222" spans="2:15">
      <c r="B222" s="136"/>
      <c r="C222" s="147"/>
      <c r="D222" s="136"/>
      <c r="E222" s="136"/>
      <c r="F222" s="136"/>
      <c r="G222" s="136"/>
      <c r="H222" s="136"/>
      <c r="I222" s="158"/>
      <c r="J222" s="151">
        <f t="shared" si="63"/>
        <v>0</v>
      </c>
      <c r="K222" s="151">
        <f t="shared" si="64"/>
        <v>0</v>
      </c>
      <c r="L222" s="136"/>
      <c r="M222" s="101"/>
      <c r="N222" s="121"/>
      <c r="O222" s="122"/>
    </row>
    <row r="223" spans="2:15">
      <c r="B223" s="136"/>
      <c r="C223" s="147"/>
      <c r="D223" s="136"/>
      <c r="E223" s="136"/>
      <c r="F223" s="160" t="s">
        <v>151</v>
      </c>
      <c r="G223" s="160"/>
      <c r="H223" s="158"/>
      <c r="I223" s="158"/>
      <c r="J223" s="151">
        <f t="shared" si="63"/>
        <v>0</v>
      </c>
      <c r="K223" s="151">
        <f t="shared" si="64"/>
        <v>0</v>
      </c>
      <c r="L223" s="136"/>
      <c r="M223" s="101"/>
      <c r="N223" s="121"/>
      <c r="O223" s="121"/>
    </row>
    <row r="224" spans="2:15">
      <c r="B224" s="136"/>
      <c r="C224" s="147"/>
      <c r="D224" s="136"/>
      <c r="E224" s="136"/>
      <c r="F224" s="160" t="s">
        <v>631</v>
      </c>
      <c r="G224" s="160"/>
      <c r="H224" s="158"/>
      <c r="I224" s="158"/>
      <c r="J224" s="151">
        <f t="shared" si="63"/>
        <v>0</v>
      </c>
      <c r="K224" s="151">
        <f t="shared" si="64"/>
        <v>0</v>
      </c>
      <c r="L224" s="136"/>
      <c r="M224" s="101"/>
      <c r="N224" s="121"/>
      <c r="O224" s="121"/>
    </row>
    <row r="225" spans="2:15" ht="25.5">
      <c r="B225" s="136"/>
      <c r="C225" s="147" t="s">
        <v>780</v>
      </c>
      <c r="D225" s="136">
        <v>97583</v>
      </c>
      <c r="E225" s="136"/>
      <c r="F225" s="160" t="s">
        <v>632</v>
      </c>
      <c r="G225" s="161" t="s">
        <v>617</v>
      </c>
      <c r="H225" s="158">
        <v>37</v>
      </c>
      <c r="I225" s="158">
        <v>50</v>
      </c>
      <c r="J225" s="151">
        <f t="shared" ref="J225" si="65">I225*(1+$J$4)</f>
        <v>65</v>
      </c>
      <c r="K225" s="151">
        <f t="shared" si="64"/>
        <v>2405</v>
      </c>
      <c r="L225" s="136"/>
      <c r="M225" s="101"/>
      <c r="N225" s="121"/>
      <c r="O225" s="122"/>
    </row>
    <row r="226" spans="2:15">
      <c r="B226" s="136"/>
      <c r="C226" s="147"/>
      <c r="D226" s="136"/>
      <c r="E226" s="136"/>
      <c r="F226" s="160"/>
      <c r="G226" s="160"/>
      <c r="H226" s="158"/>
      <c r="I226" s="158"/>
      <c r="J226" s="151">
        <f t="shared" si="63"/>
        <v>0</v>
      </c>
      <c r="K226" s="151">
        <f t="shared" si="64"/>
        <v>0</v>
      </c>
      <c r="L226" s="136"/>
      <c r="M226" s="101"/>
      <c r="N226" s="121"/>
      <c r="O226" s="121"/>
    </row>
    <row r="227" spans="2:15">
      <c r="B227" s="136"/>
      <c r="C227" s="147"/>
      <c r="D227" s="136"/>
      <c r="E227" s="136"/>
      <c r="F227" s="160" t="s">
        <v>173</v>
      </c>
      <c r="G227" s="161"/>
      <c r="H227" s="162"/>
      <c r="I227" s="158"/>
      <c r="J227" s="151">
        <f t="shared" ref="J227:J246" si="66">I227*(1+$J$4)</f>
        <v>0</v>
      </c>
      <c r="K227" s="151">
        <f t="shared" ref="K227:K246" si="67">J227*H227</f>
        <v>0</v>
      </c>
      <c r="L227" s="136"/>
      <c r="M227" s="101"/>
      <c r="N227" s="121"/>
      <c r="O227" s="122"/>
    </row>
    <row r="228" spans="2:15" ht="51">
      <c r="B228" s="136"/>
      <c r="C228" s="147"/>
      <c r="D228" s="136"/>
      <c r="E228" s="136"/>
      <c r="F228" s="160" t="s">
        <v>633</v>
      </c>
      <c r="G228" s="160"/>
      <c r="H228" s="158"/>
      <c r="I228" s="158"/>
      <c r="J228" s="151">
        <f t="shared" si="66"/>
        <v>0</v>
      </c>
      <c r="K228" s="151">
        <f t="shared" si="67"/>
        <v>0</v>
      </c>
      <c r="L228" s="136"/>
      <c r="M228" s="101"/>
      <c r="N228" s="121"/>
      <c r="O228" s="121"/>
    </row>
    <row r="229" spans="2:15">
      <c r="B229" s="136"/>
      <c r="C229" s="147"/>
      <c r="D229" s="136"/>
      <c r="E229" s="136"/>
      <c r="F229" s="136"/>
      <c r="G229" s="160"/>
      <c r="H229" s="151"/>
      <c r="I229" s="151"/>
      <c r="J229" s="151">
        <f t="shared" si="66"/>
        <v>0</v>
      </c>
      <c r="K229" s="151">
        <f t="shared" si="67"/>
        <v>0</v>
      </c>
      <c r="L229" s="136"/>
      <c r="M229" s="101"/>
      <c r="N229" s="121"/>
      <c r="O229" s="121"/>
    </row>
    <row r="230" spans="2:15">
      <c r="B230" s="136"/>
      <c r="C230" s="147" t="s">
        <v>781</v>
      </c>
      <c r="D230" s="136" t="s">
        <v>634</v>
      </c>
      <c r="E230" s="136"/>
      <c r="F230" s="160" t="s">
        <v>174</v>
      </c>
      <c r="G230" s="160"/>
      <c r="H230" s="151"/>
      <c r="I230" s="151"/>
      <c r="J230" s="151">
        <f t="shared" si="66"/>
        <v>0</v>
      </c>
      <c r="K230" s="151">
        <f t="shared" si="67"/>
        <v>0</v>
      </c>
      <c r="L230" s="136"/>
      <c r="M230" s="101"/>
      <c r="N230" s="121"/>
      <c r="O230" s="121"/>
    </row>
    <row r="231" spans="2:15">
      <c r="B231" s="136"/>
      <c r="C231" s="147"/>
      <c r="D231" s="136"/>
      <c r="E231" s="136"/>
      <c r="F231" s="160" t="s">
        <v>175</v>
      </c>
      <c r="G231" s="161" t="s">
        <v>68</v>
      </c>
      <c r="H231" s="151">
        <v>1</v>
      </c>
      <c r="I231" s="151">
        <v>345.41</v>
      </c>
      <c r="J231" s="151">
        <f t="shared" si="66"/>
        <v>449.03300000000007</v>
      </c>
      <c r="K231" s="151">
        <f t="shared" si="67"/>
        <v>449.03300000000007</v>
      </c>
      <c r="L231" s="136"/>
      <c r="M231" s="101"/>
      <c r="N231" s="121"/>
      <c r="O231" s="122"/>
    </row>
    <row r="232" spans="2:15">
      <c r="B232" s="136"/>
      <c r="C232" s="147"/>
      <c r="D232" s="136"/>
      <c r="E232" s="136"/>
      <c r="F232" s="160" t="s">
        <v>176</v>
      </c>
      <c r="G232" s="160"/>
      <c r="H232" s="151"/>
      <c r="I232" s="151"/>
      <c r="J232" s="151">
        <f t="shared" si="66"/>
        <v>0</v>
      </c>
      <c r="K232" s="151">
        <f t="shared" si="67"/>
        <v>0</v>
      </c>
      <c r="L232" s="136"/>
      <c r="M232" s="101"/>
      <c r="N232" s="121"/>
      <c r="O232" s="121"/>
    </row>
    <row r="233" spans="2:15">
      <c r="B233" s="136"/>
      <c r="C233" s="147"/>
      <c r="D233" s="136"/>
      <c r="E233" s="136"/>
      <c r="F233" s="160" t="s">
        <v>177</v>
      </c>
      <c r="G233" s="160"/>
      <c r="H233" s="151"/>
      <c r="I233" s="151"/>
      <c r="J233" s="151">
        <f t="shared" si="66"/>
        <v>0</v>
      </c>
      <c r="K233" s="151">
        <f t="shared" si="67"/>
        <v>0</v>
      </c>
      <c r="L233" s="136"/>
      <c r="M233" s="101"/>
      <c r="N233" s="121"/>
      <c r="O233" s="121"/>
    </row>
    <row r="234" spans="2:15">
      <c r="B234" s="136"/>
      <c r="C234" s="147" t="s">
        <v>782</v>
      </c>
      <c r="D234" s="136" t="s">
        <v>634</v>
      </c>
      <c r="E234" s="136"/>
      <c r="F234" s="160" t="s">
        <v>178</v>
      </c>
      <c r="G234" s="161" t="s">
        <v>68</v>
      </c>
      <c r="H234" s="151">
        <v>1</v>
      </c>
      <c r="I234" s="151">
        <v>345.41</v>
      </c>
      <c r="J234" s="151">
        <f t="shared" ref="J234" si="68">I234*(1+$J$4)</f>
        <v>449.03300000000007</v>
      </c>
      <c r="K234" s="151">
        <f t="shared" ref="K234" si="69">J234*H234</f>
        <v>449.03300000000007</v>
      </c>
      <c r="L234" s="136"/>
      <c r="M234" s="101"/>
      <c r="N234" s="121"/>
      <c r="O234" s="122"/>
    </row>
    <row r="235" spans="2:15">
      <c r="B235" s="136"/>
      <c r="C235" s="147"/>
      <c r="D235" s="136"/>
      <c r="E235" s="136"/>
      <c r="F235" s="160"/>
      <c r="G235" s="161"/>
      <c r="H235" s="151"/>
      <c r="I235" s="151"/>
      <c r="J235" s="151"/>
      <c r="K235" s="151"/>
      <c r="L235" s="136"/>
      <c r="M235" s="101"/>
      <c r="N235" s="121"/>
      <c r="O235" s="122"/>
    </row>
    <row r="236" spans="2:15">
      <c r="B236" s="136"/>
      <c r="C236" s="147"/>
      <c r="D236" s="136"/>
      <c r="E236" s="136"/>
      <c r="F236" s="160" t="s">
        <v>179</v>
      </c>
      <c r="G236" s="160"/>
      <c r="H236" s="151"/>
      <c r="I236" s="151"/>
      <c r="J236" s="151">
        <f t="shared" si="66"/>
        <v>0</v>
      </c>
      <c r="K236" s="151">
        <f t="shared" si="67"/>
        <v>0</v>
      </c>
      <c r="L236" s="136"/>
      <c r="M236" s="101"/>
      <c r="N236" s="121"/>
      <c r="O236" s="121"/>
    </row>
    <row r="237" spans="2:15">
      <c r="B237" s="136"/>
      <c r="C237" s="147"/>
      <c r="D237" s="136"/>
      <c r="E237" s="136"/>
      <c r="F237" s="160" t="s">
        <v>58</v>
      </c>
      <c r="G237" s="160"/>
      <c r="H237" s="151"/>
      <c r="I237" s="151"/>
      <c r="J237" s="151">
        <f t="shared" si="66"/>
        <v>0</v>
      </c>
      <c r="K237" s="151">
        <f t="shared" si="67"/>
        <v>0</v>
      </c>
      <c r="L237" s="136"/>
      <c r="M237" s="101"/>
      <c r="N237" s="121"/>
      <c r="O237" s="121"/>
    </row>
    <row r="238" spans="2:15">
      <c r="B238" s="136"/>
      <c r="C238" s="147" t="s">
        <v>783</v>
      </c>
      <c r="D238" s="136"/>
      <c r="E238" s="136"/>
      <c r="F238" s="160" t="s">
        <v>59</v>
      </c>
      <c r="G238" s="161" t="s">
        <v>180</v>
      </c>
      <c r="H238" s="151">
        <v>8</v>
      </c>
      <c r="I238" s="158">
        <v>12.57</v>
      </c>
      <c r="J238" s="151">
        <f t="shared" si="66"/>
        <v>16.341000000000001</v>
      </c>
      <c r="K238" s="151">
        <f t="shared" si="67"/>
        <v>130.72800000000001</v>
      </c>
      <c r="L238" s="136"/>
      <c r="M238" s="101"/>
      <c r="N238" s="121"/>
      <c r="O238" s="122"/>
    </row>
    <row r="239" spans="2:15">
      <c r="B239" s="136"/>
      <c r="C239" s="147"/>
      <c r="D239" s="136"/>
      <c r="E239" s="136"/>
      <c r="F239" s="160" t="s">
        <v>181</v>
      </c>
      <c r="G239" s="160"/>
      <c r="H239" s="151"/>
      <c r="I239" s="151"/>
      <c r="J239" s="151">
        <f t="shared" si="66"/>
        <v>0</v>
      </c>
      <c r="K239" s="151">
        <f t="shared" si="67"/>
        <v>0</v>
      </c>
      <c r="L239" s="136"/>
      <c r="M239" s="101"/>
      <c r="N239" s="121"/>
      <c r="O239" s="121"/>
    </row>
    <row r="240" spans="2:15" ht="25.5">
      <c r="B240" s="136"/>
      <c r="C240" s="147"/>
      <c r="D240" s="136"/>
      <c r="E240" s="136"/>
      <c r="F240" s="160" t="s">
        <v>635</v>
      </c>
      <c r="G240" s="160"/>
      <c r="H240" s="151"/>
      <c r="I240" s="151"/>
      <c r="J240" s="151">
        <f t="shared" si="66"/>
        <v>0</v>
      </c>
      <c r="K240" s="151">
        <f t="shared" si="67"/>
        <v>0</v>
      </c>
      <c r="L240" s="136"/>
      <c r="M240" s="101"/>
      <c r="N240" s="121"/>
      <c r="O240" s="121"/>
    </row>
    <row r="241" spans="2:15">
      <c r="B241" s="136"/>
      <c r="C241" s="147" t="s">
        <v>784</v>
      </c>
      <c r="D241" s="136"/>
      <c r="E241" s="136"/>
      <c r="F241" s="160" t="s">
        <v>183</v>
      </c>
      <c r="G241" s="161" t="s">
        <v>180</v>
      </c>
      <c r="H241" s="151">
        <v>8</v>
      </c>
      <c r="I241" s="151">
        <v>25</v>
      </c>
      <c r="J241" s="151">
        <f t="shared" si="66"/>
        <v>32.5</v>
      </c>
      <c r="K241" s="151">
        <f t="shared" si="67"/>
        <v>260</v>
      </c>
      <c r="L241" s="136"/>
      <c r="M241" s="101"/>
      <c r="N241" s="121"/>
      <c r="O241" s="122"/>
    </row>
    <row r="242" spans="2:15">
      <c r="B242" s="136"/>
      <c r="C242" s="147"/>
      <c r="D242" s="136"/>
      <c r="E242" s="136"/>
      <c r="F242" s="160" t="s">
        <v>184</v>
      </c>
      <c r="G242" s="160"/>
      <c r="H242" s="151"/>
      <c r="I242" s="151"/>
      <c r="J242" s="151">
        <f t="shared" si="66"/>
        <v>0</v>
      </c>
      <c r="K242" s="151">
        <f t="shared" si="67"/>
        <v>0</v>
      </c>
      <c r="L242" s="136"/>
      <c r="M242" s="101"/>
      <c r="N242" s="121"/>
      <c r="O242" s="121"/>
    </row>
    <row r="243" spans="2:15">
      <c r="B243" s="136"/>
      <c r="C243" s="147"/>
      <c r="D243" s="136"/>
      <c r="E243" s="136"/>
      <c r="F243" s="160" t="s">
        <v>129</v>
      </c>
      <c r="G243" s="160"/>
      <c r="H243" s="151"/>
      <c r="I243" s="151"/>
      <c r="J243" s="151">
        <f t="shared" si="66"/>
        <v>0</v>
      </c>
      <c r="K243" s="151">
        <f t="shared" si="67"/>
        <v>0</v>
      </c>
      <c r="L243" s="136"/>
      <c r="M243" s="101"/>
      <c r="N243" s="121"/>
      <c r="O243" s="121"/>
    </row>
    <row r="244" spans="2:15">
      <c r="B244" s="136"/>
      <c r="C244" s="147" t="s">
        <v>785</v>
      </c>
      <c r="D244" s="136"/>
      <c r="E244" s="136"/>
      <c r="F244" s="160" t="s">
        <v>131</v>
      </c>
      <c r="G244" s="161" t="s">
        <v>186</v>
      </c>
      <c r="H244" s="151">
        <v>75</v>
      </c>
      <c r="I244" s="158">
        <v>6.82</v>
      </c>
      <c r="J244" s="151">
        <f t="shared" si="66"/>
        <v>8.8660000000000014</v>
      </c>
      <c r="K244" s="151">
        <f t="shared" si="67"/>
        <v>664.95000000000016</v>
      </c>
      <c r="L244" s="136"/>
      <c r="M244" s="101"/>
      <c r="N244" s="121"/>
      <c r="O244" s="122"/>
    </row>
    <row r="245" spans="2:15">
      <c r="B245" s="136"/>
      <c r="C245" s="136"/>
      <c r="D245" s="136"/>
      <c r="E245" s="136"/>
      <c r="F245" s="160" t="s">
        <v>187</v>
      </c>
      <c r="G245" s="160"/>
      <c r="H245" s="151"/>
      <c r="I245" s="151"/>
      <c r="J245" s="151">
        <f t="shared" si="66"/>
        <v>0</v>
      </c>
      <c r="K245" s="151">
        <f t="shared" si="67"/>
        <v>0</v>
      </c>
      <c r="L245" s="136"/>
      <c r="M245" s="101"/>
      <c r="N245" s="121"/>
      <c r="O245" s="121"/>
    </row>
    <row r="246" spans="2:15">
      <c r="B246" s="136"/>
      <c r="C246" s="136"/>
      <c r="D246" s="136"/>
      <c r="E246" s="136"/>
      <c r="F246" s="160" t="s">
        <v>58</v>
      </c>
      <c r="G246" s="160"/>
      <c r="H246" s="151"/>
      <c r="I246" s="151"/>
      <c r="J246" s="151">
        <f t="shared" si="66"/>
        <v>0</v>
      </c>
      <c r="K246" s="151">
        <f t="shared" si="67"/>
        <v>0</v>
      </c>
      <c r="L246" s="136"/>
      <c r="M246" s="101"/>
      <c r="N246" s="121"/>
      <c r="O246" s="121"/>
    </row>
    <row r="247" spans="2:15">
      <c r="B247" s="136"/>
      <c r="C247" s="147" t="s">
        <v>786</v>
      </c>
      <c r="D247" s="136"/>
      <c r="E247" s="136"/>
      <c r="F247" s="160" t="s">
        <v>59</v>
      </c>
      <c r="G247" s="161" t="s">
        <v>68</v>
      </c>
      <c r="H247" s="151">
        <v>1</v>
      </c>
      <c r="I247" s="158">
        <v>12.57</v>
      </c>
      <c r="J247" s="151">
        <f t="shared" ref="J247" si="70">I247*(1+$J$4)</f>
        <v>16.341000000000001</v>
      </c>
      <c r="K247" s="151">
        <f t="shared" ref="K247" si="71">J247*H247</f>
        <v>16.341000000000001</v>
      </c>
      <c r="L247" s="136"/>
      <c r="M247" s="101"/>
      <c r="N247" s="121"/>
      <c r="O247" s="122"/>
    </row>
    <row r="248" spans="2:15">
      <c r="B248" s="136"/>
      <c r="C248" s="136"/>
      <c r="D248" s="136"/>
      <c r="E248" s="136"/>
      <c r="F248" s="160" t="s">
        <v>188</v>
      </c>
      <c r="G248" s="160"/>
      <c r="H248" s="151"/>
      <c r="I248" s="151"/>
      <c r="J248" s="151"/>
      <c r="K248" s="151"/>
      <c r="L248" s="136"/>
      <c r="M248" s="101"/>
      <c r="N248" s="121"/>
      <c r="O248" s="121"/>
    </row>
    <row r="249" spans="2:15">
      <c r="B249" s="136"/>
      <c r="C249" s="136"/>
      <c r="D249" s="136"/>
      <c r="E249" s="136"/>
      <c r="F249" s="160" t="s">
        <v>182</v>
      </c>
      <c r="G249" s="160"/>
      <c r="H249" s="151"/>
      <c r="I249" s="151"/>
      <c r="J249" s="151"/>
      <c r="K249" s="151"/>
      <c r="L249" s="136"/>
      <c r="M249" s="101"/>
      <c r="N249" s="121"/>
      <c r="O249" s="121"/>
    </row>
    <row r="250" spans="2:15">
      <c r="B250" s="136"/>
      <c r="C250" s="147" t="s">
        <v>787</v>
      </c>
      <c r="D250" s="136"/>
      <c r="E250" s="136"/>
      <c r="F250" s="160" t="s">
        <v>189</v>
      </c>
      <c r="G250" s="161" t="s">
        <v>68</v>
      </c>
      <c r="H250" s="151">
        <v>1</v>
      </c>
      <c r="I250" s="151">
        <v>25</v>
      </c>
      <c r="J250" s="151">
        <f t="shared" ref="J250" si="72">I250*(1+$J$4)</f>
        <v>32.5</v>
      </c>
      <c r="K250" s="151">
        <f t="shared" ref="K250" si="73">J250*H250</f>
        <v>32.5</v>
      </c>
      <c r="L250" s="136"/>
      <c r="M250" s="101"/>
      <c r="N250" s="121"/>
      <c r="O250" s="122"/>
    </row>
    <row r="251" spans="2:15">
      <c r="B251" s="136"/>
      <c r="C251" s="136"/>
      <c r="D251" s="136"/>
      <c r="E251" s="136"/>
      <c r="F251" s="160" t="s">
        <v>190</v>
      </c>
      <c r="G251" s="160"/>
      <c r="H251" s="151"/>
      <c r="I251" s="151"/>
      <c r="J251" s="151"/>
      <c r="K251" s="151"/>
      <c r="L251" s="136"/>
      <c r="M251" s="101"/>
      <c r="N251" s="121"/>
      <c r="O251" s="121"/>
    </row>
    <row r="252" spans="2:15">
      <c r="B252" s="136"/>
      <c r="C252" s="136"/>
      <c r="D252" s="136"/>
      <c r="E252" s="136"/>
      <c r="F252" s="160" t="s">
        <v>58</v>
      </c>
      <c r="G252" s="160"/>
      <c r="H252" s="151"/>
      <c r="I252" s="151"/>
      <c r="J252" s="151"/>
      <c r="K252" s="151"/>
      <c r="L252" s="136"/>
      <c r="M252" s="101"/>
      <c r="N252" s="121"/>
      <c r="O252" s="121"/>
    </row>
    <row r="253" spans="2:15">
      <c r="B253" s="136"/>
      <c r="C253" s="147" t="s">
        <v>788</v>
      </c>
      <c r="D253" s="136"/>
      <c r="E253" s="136"/>
      <c r="F253" s="160" t="s">
        <v>59</v>
      </c>
      <c r="G253" s="161" t="s">
        <v>180</v>
      </c>
      <c r="H253" s="151">
        <v>8</v>
      </c>
      <c r="I253" s="158">
        <v>12.57</v>
      </c>
      <c r="J253" s="151">
        <f t="shared" ref="J253" si="74">I253*(1+$J$4)</f>
        <v>16.341000000000001</v>
      </c>
      <c r="K253" s="151">
        <f t="shared" ref="K253" si="75">J253*H253</f>
        <v>130.72800000000001</v>
      </c>
      <c r="L253" s="136"/>
      <c r="M253" s="101"/>
      <c r="N253" s="121"/>
      <c r="O253" s="122"/>
    </row>
    <row r="254" spans="2:15">
      <c r="B254" s="136"/>
      <c r="C254" s="136"/>
      <c r="D254" s="136"/>
      <c r="E254" s="136"/>
      <c r="F254" s="160" t="s">
        <v>196</v>
      </c>
      <c r="G254" s="160"/>
      <c r="H254" s="151"/>
      <c r="I254" s="151"/>
      <c r="J254" s="151"/>
      <c r="K254" s="151"/>
      <c r="L254" s="136"/>
      <c r="M254" s="101"/>
      <c r="N254" s="121"/>
      <c r="O254" s="121"/>
    </row>
    <row r="255" spans="2:15">
      <c r="B255" s="136"/>
      <c r="C255" s="136"/>
      <c r="D255" s="136"/>
      <c r="E255" s="136"/>
      <c r="F255" s="160" t="s">
        <v>129</v>
      </c>
      <c r="G255" s="160"/>
      <c r="H255" s="151"/>
      <c r="I255" s="151"/>
      <c r="J255" s="151"/>
      <c r="K255" s="151"/>
      <c r="L255" s="136"/>
      <c r="M255" s="101"/>
      <c r="N255" s="121"/>
      <c r="O255" s="121"/>
    </row>
    <row r="256" spans="2:15">
      <c r="B256" s="136"/>
      <c r="C256" s="147" t="s">
        <v>789</v>
      </c>
      <c r="D256" s="136"/>
      <c r="E256" s="136"/>
      <c r="F256" s="160" t="s">
        <v>131</v>
      </c>
      <c r="G256" s="161" t="s">
        <v>197</v>
      </c>
      <c r="H256" s="151">
        <v>80</v>
      </c>
      <c r="I256" s="158">
        <v>6.82</v>
      </c>
      <c r="J256" s="151">
        <f t="shared" ref="J256" si="76">I256*(1+$J$4)</f>
        <v>8.8660000000000014</v>
      </c>
      <c r="K256" s="151">
        <f t="shared" ref="K256" si="77">J256*H256</f>
        <v>709.28000000000009</v>
      </c>
      <c r="L256" s="136"/>
      <c r="M256" s="101"/>
      <c r="N256" s="121"/>
      <c r="O256" s="122"/>
    </row>
    <row r="257" spans="2:15">
      <c r="B257" s="136"/>
      <c r="C257" s="147"/>
      <c r="D257" s="136"/>
      <c r="E257" s="136"/>
      <c r="F257" s="156"/>
      <c r="G257" s="136"/>
      <c r="H257" s="151"/>
      <c r="I257" s="151"/>
      <c r="J257" s="151"/>
      <c r="K257" s="151"/>
      <c r="L257" s="136"/>
      <c r="M257" s="101"/>
      <c r="N257" s="114"/>
      <c r="O257" s="114"/>
    </row>
    <row r="258" spans="2:15">
      <c r="B258" s="136"/>
      <c r="C258" s="147"/>
      <c r="D258" s="136"/>
      <c r="E258" s="136"/>
      <c r="F258" s="156"/>
      <c r="G258" s="136"/>
      <c r="H258" s="151"/>
      <c r="I258" s="151"/>
      <c r="J258" s="151"/>
      <c r="K258" s="151"/>
      <c r="L258" s="136"/>
      <c r="M258" s="101"/>
      <c r="N258" s="114"/>
      <c r="O258" s="114"/>
    </row>
    <row r="259" spans="2:15">
      <c r="B259" s="136"/>
      <c r="C259" s="147">
        <v>13</v>
      </c>
      <c r="D259" s="136"/>
      <c r="E259" s="136"/>
      <c r="F259" s="156" t="s">
        <v>636</v>
      </c>
      <c r="G259" s="136"/>
      <c r="H259" s="151"/>
      <c r="I259" s="151"/>
      <c r="J259" s="151"/>
      <c r="K259" s="151"/>
      <c r="L259" s="137">
        <f>SUM(K263:K270)</f>
        <v>39578.5</v>
      </c>
      <c r="M259" s="101"/>
      <c r="N259" s="114"/>
      <c r="O259" s="114"/>
    </row>
    <row r="260" spans="2:15">
      <c r="B260" s="136"/>
      <c r="C260" s="147"/>
      <c r="D260" s="136"/>
      <c r="E260" s="136"/>
      <c r="F260" s="156" t="s">
        <v>643</v>
      </c>
      <c r="G260" s="136"/>
      <c r="H260" s="151"/>
      <c r="I260" s="151"/>
      <c r="J260" s="151"/>
      <c r="K260" s="151"/>
      <c r="L260" s="136"/>
      <c r="M260" s="101"/>
      <c r="N260" s="114"/>
      <c r="O260" s="114"/>
    </row>
    <row r="261" spans="2:15">
      <c r="B261" s="136"/>
      <c r="C261" s="147"/>
      <c r="D261" s="136"/>
      <c r="E261" s="136"/>
      <c r="F261" s="156" t="s">
        <v>642</v>
      </c>
      <c r="G261" s="136"/>
      <c r="H261" s="151"/>
      <c r="I261" s="151"/>
      <c r="J261" s="151"/>
      <c r="K261" s="151"/>
      <c r="L261" s="136"/>
      <c r="M261" s="101"/>
      <c r="N261" s="114"/>
      <c r="O261" s="114"/>
    </row>
    <row r="262" spans="2:15">
      <c r="B262" s="136"/>
      <c r="C262" s="147"/>
      <c r="D262" s="136"/>
      <c r="E262" s="136"/>
      <c r="F262" s="156"/>
      <c r="G262" s="136"/>
      <c r="H262" s="151"/>
      <c r="I262" s="151"/>
      <c r="J262" s="151"/>
      <c r="K262" s="151"/>
      <c r="L262" s="136"/>
      <c r="M262" s="101"/>
      <c r="N262" s="114"/>
      <c r="O262" s="114"/>
    </row>
    <row r="263" spans="2:15" ht="25.5" customHeight="1">
      <c r="B263" s="136"/>
      <c r="C263" s="147" t="s">
        <v>790</v>
      </c>
      <c r="D263" s="136">
        <v>88411</v>
      </c>
      <c r="E263" s="136"/>
      <c r="F263" s="156" t="s">
        <v>675</v>
      </c>
      <c r="G263" s="136" t="s">
        <v>317</v>
      </c>
      <c r="H263" s="151">
        <v>400</v>
      </c>
      <c r="I263" s="158">
        <v>6.82</v>
      </c>
      <c r="J263" s="151">
        <f t="shared" ref="J263:J264" si="78">I263*(1+$J$4)</f>
        <v>8.8660000000000014</v>
      </c>
      <c r="K263" s="151">
        <f t="shared" ref="K263:K264" si="79">J263*H263</f>
        <v>3546.4000000000005</v>
      </c>
      <c r="L263" s="136"/>
      <c r="M263" s="101"/>
      <c r="N263" s="114"/>
      <c r="O263" s="114"/>
    </row>
    <row r="264" spans="2:15" ht="46.5" customHeight="1">
      <c r="B264" s="136"/>
      <c r="C264" s="147" t="s">
        <v>791</v>
      </c>
      <c r="D264" s="136">
        <v>88411</v>
      </c>
      <c r="E264" s="136"/>
      <c r="F264" s="156" t="s">
        <v>674</v>
      </c>
      <c r="G264" s="136" t="s">
        <v>317</v>
      </c>
      <c r="H264" s="151">
        <v>800</v>
      </c>
      <c r="I264" s="158">
        <v>6.82</v>
      </c>
      <c r="J264" s="151">
        <f t="shared" si="78"/>
        <v>8.8660000000000014</v>
      </c>
      <c r="K264" s="151">
        <f t="shared" si="79"/>
        <v>7092.8000000000011</v>
      </c>
      <c r="L264" s="136"/>
      <c r="M264" s="101"/>
      <c r="N264" s="114"/>
      <c r="O264" s="114"/>
    </row>
    <row r="265" spans="2:15">
      <c r="B265" s="136"/>
      <c r="C265" s="136"/>
      <c r="D265" s="136"/>
      <c r="E265" s="136"/>
      <c r="F265" s="156"/>
      <c r="G265" s="136"/>
      <c r="H265" s="151"/>
      <c r="I265" s="158"/>
      <c r="J265" s="151"/>
      <c r="K265" s="151"/>
      <c r="L265" s="136"/>
      <c r="M265" s="101"/>
      <c r="N265" s="114"/>
      <c r="O265" s="114"/>
    </row>
    <row r="266" spans="2:15" ht="25.5">
      <c r="B266" s="136"/>
      <c r="C266" s="147" t="s">
        <v>792</v>
      </c>
      <c r="D266" s="136">
        <v>95305</v>
      </c>
      <c r="E266" s="136"/>
      <c r="F266" s="156" t="s">
        <v>672</v>
      </c>
      <c r="G266" s="136" t="s">
        <v>317</v>
      </c>
      <c r="H266" s="151">
        <v>400</v>
      </c>
      <c r="I266" s="158">
        <v>10.98</v>
      </c>
      <c r="J266" s="151">
        <f t="shared" ref="J266" si="80">I266*(1+$J$4)</f>
        <v>14.274000000000001</v>
      </c>
      <c r="K266" s="151">
        <f t="shared" ref="K266" si="81">J266*H266</f>
        <v>5709.6</v>
      </c>
      <c r="L266" s="136"/>
      <c r="M266" s="101"/>
      <c r="N266" s="114"/>
      <c r="O266" s="114"/>
    </row>
    <row r="267" spans="2:15">
      <c r="B267" s="136"/>
      <c r="C267" s="136"/>
      <c r="D267" s="136"/>
      <c r="E267" s="136"/>
      <c r="F267" s="136"/>
      <c r="G267" s="136"/>
      <c r="H267" s="137"/>
      <c r="I267" s="151"/>
      <c r="J267" s="151"/>
      <c r="K267" s="151"/>
      <c r="L267" s="136"/>
      <c r="M267" s="101"/>
      <c r="N267" s="114"/>
      <c r="O267" s="114"/>
    </row>
    <row r="268" spans="2:15" ht="25.5">
      <c r="B268" s="136"/>
      <c r="C268" s="147" t="s">
        <v>793</v>
      </c>
      <c r="D268" s="136">
        <v>95622</v>
      </c>
      <c r="E268" s="136"/>
      <c r="F268" s="156" t="s">
        <v>691</v>
      </c>
      <c r="G268" s="136" t="s">
        <v>317</v>
      </c>
      <c r="H268" s="151">
        <v>1100</v>
      </c>
      <c r="I268" s="158">
        <v>11.65</v>
      </c>
      <c r="J268" s="151">
        <f t="shared" ref="J268" si="82">I268*(1+$J$4)</f>
        <v>15.145000000000001</v>
      </c>
      <c r="K268" s="151">
        <f t="shared" ref="K268" si="83">J268*H268</f>
        <v>16659.5</v>
      </c>
      <c r="L268" s="136"/>
      <c r="M268" s="101"/>
      <c r="N268" s="123"/>
      <c r="O268" s="114"/>
    </row>
    <row r="269" spans="2:15">
      <c r="B269" s="136"/>
      <c r="C269" s="136"/>
      <c r="D269" s="136"/>
      <c r="E269" s="136"/>
      <c r="F269" s="156"/>
      <c r="G269" s="136"/>
      <c r="H269" s="151"/>
      <c r="I269" s="151"/>
      <c r="J269" s="151"/>
      <c r="K269" s="151"/>
      <c r="L269" s="136"/>
      <c r="M269" s="101"/>
      <c r="N269" s="114"/>
      <c r="O269" s="114"/>
    </row>
    <row r="270" spans="2:15">
      <c r="B270" s="136"/>
      <c r="C270" s="147" t="s">
        <v>794</v>
      </c>
      <c r="D270" s="136" t="s">
        <v>647</v>
      </c>
      <c r="E270" s="136"/>
      <c r="F270" s="156" t="s">
        <v>673</v>
      </c>
      <c r="G270" s="136" t="s">
        <v>317</v>
      </c>
      <c r="H270" s="151">
        <f>260+90</f>
        <v>350</v>
      </c>
      <c r="I270" s="158">
        <v>14.44</v>
      </c>
      <c r="J270" s="151">
        <f t="shared" ref="J270" si="84">I270*(1+$J$4)</f>
        <v>18.771999999999998</v>
      </c>
      <c r="K270" s="151">
        <f t="shared" ref="K270" si="85">J270*H270</f>
        <v>6570.2</v>
      </c>
      <c r="L270" s="136"/>
      <c r="M270" s="101"/>
      <c r="N270" s="114"/>
      <c r="O270" s="114"/>
    </row>
    <row r="271" spans="2:15">
      <c r="B271" s="136"/>
      <c r="C271" s="147"/>
      <c r="D271" s="136"/>
      <c r="E271" s="136"/>
      <c r="F271" s="156"/>
      <c r="G271" s="136"/>
      <c r="H271" s="151"/>
      <c r="I271" s="158"/>
      <c r="J271" s="151"/>
      <c r="K271" s="151"/>
      <c r="L271" s="136"/>
      <c r="M271" s="101"/>
      <c r="N271" s="114"/>
      <c r="O271" s="114"/>
    </row>
    <row r="272" spans="2:15">
      <c r="B272" s="136"/>
      <c r="C272" s="147"/>
      <c r="D272" s="136"/>
      <c r="E272" s="136"/>
      <c r="F272" s="156"/>
      <c r="G272" s="136"/>
      <c r="H272" s="151"/>
      <c r="I272" s="151"/>
      <c r="J272" s="151"/>
      <c r="K272" s="151"/>
      <c r="L272" s="136"/>
      <c r="M272" s="101"/>
      <c r="N272" s="114"/>
      <c r="O272" s="114"/>
    </row>
    <row r="273" spans="2:15">
      <c r="B273" s="136"/>
      <c r="C273" s="147">
        <v>14</v>
      </c>
      <c r="D273" s="136"/>
      <c r="E273" s="136"/>
      <c r="F273" s="156" t="s">
        <v>644</v>
      </c>
      <c r="G273" s="136" t="s">
        <v>671</v>
      </c>
      <c r="H273" s="151">
        <v>5</v>
      </c>
      <c r="I273" s="151">
        <f>J273/1.3</f>
        <v>376.87230769230769</v>
      </c>
      <c r="J273" s="151">
        <f>K273/5</f>
        <v>489.93400000000003</v>
      </c>
      <c r="K273" s="151">
        <v>2449.67</v>
      </c>
      <c r="L273" s="137">
        <f>K273</f>
        <v>2449.67</v>
      </c>
      <c r="M273" s="101"/>
      <c r="N273" s="123"/>
      <c r="O273" s="114"/>
    </row>
    <row r="274" spans="2:15">
      <c r="M274" s="101"/>
      <c r="N274" s="123"/>
      <c r="O274" s="114"/>
    </row>
    <row r="275" spans="2:15">
      <c r="L275" s="103"/>
      <c r="M275" s="104"/>
      <c r="N275" s="114"/>
      <c r="O275" s="114"/>
    </row>
    <row r="276" spans="2:15">
      <c r="M276" s="104"/>
      <c r="N276" s="123"/>
      <c r="O276" s="114"/>
    </row>
    <row r="277" spans="2:15">
      <c r="M277" s="104"/>
      <c r="N277" s="114"/>
      <c r="O277" s="114"/>
    </row>
    <row r="278" spans="2:15">
      <c r="M278" s="104"/>
      <c r="N278" s="114"/>
      <c r="O278" s="114"/>
    </row>
    <row r="279" spans="2:15">
      <c r="M279" s="104"/>
      <c r="N279" s="114"/>
      <c r="O279" s="114"/>
    </row>
    <row r="280" spans="2:15">
      <c r="M280" s="104"/>
      <c r="N280" s="114"/>
      <c r="O280" s="114"/>
    </row>
    <row r="281" spans="2:15">
      <c r="M281" s="104"/>
      <c r="N281" s="114"/>
      <c r="O281" s="114"/>
    </row>
    <row r="282" spans="2:15">
      <c r="M282" s="104"/>
      <c r="N282" s="114"/>
      <c r="O282" s="114"/>
    </row>
    <row r="283" spans="2:15">
      <c r="M283" s="104"/>
      <c r="N283" s="114"/>
      <c r="O283" s="114"/>
    </row>
    <row r="284" spans="2:15">
      <c r="M284" s="104"/>
      <c r="N284" s="114"/>
      <c r="O284" s="114"/>
    </row>
    <row r="285" spans="2:15">
      <c r="M285" s="104"/>
      <c r="N285" s="114"/>
      <c r="O285" s="114"/>
    </row>
    <row r="286" spans="2:15">
      <c r="M286" s="104"/>
      <c r="N286" s="114"/>
      <c r="O286" s="114"/>
    </row>
    <row r="287" spans="2:15">
      <c r="M287" s="104"/>
      <c r="N287" s="114"/>
      <c r="O287" s="114"/>
    </row>
    <row r="288" spans="2:15">
      <c r="M288" s="104"/>
      <c r="N288" s="114"/>
      <c r="O288" s="114"/>
    </row>
    <row r="289" spans="13:15">
      <c r="M289" s="104"/>
      <c r="N289" s="114"/>
      <c r="O289" s="114"/>
    </row>
    <row r="290" spans="13:15">
      <c r="M290" s="104"/>
      <c r="N290" s="114"/>
      <c r="O290" s="114"/>
    </row>
    <row r="291" spans="13:15">
      <c r="M291" s="104"/>
      <c r="N291" s="114"/>
      <c r="O291" s="114"/>
    </row>
    <row r="292" spans="13:15">
      <c r="M292" s="104"/>
      <c r="N292" s="114"/>
      <c r="O292" s="114"/>
    </row>
    <row r="293" spans="13:15">
      <c r="M293" s="104"/>
      <c r="N293" s="114"/>
      <c r="O293" s="114"/>
    </row>
    <row r="294" spans="13:15">
      <c r="M294" s="104"/>
      <c r="N294" s="114"/>
      <c r="O294" s="114"/>
    </row>
    <row r="295" spans="13:15">
      <c r="M295" s="104"/>
      <c r="N295" s="114"/>
      <c r="O295" s="114"/>
    </row>
    <row r="296" spans="13:15">
      <c r="M296" s="104"/>
      <c r="N296" s="114"/>
      <c r="O296" s="114"/>
    </row>
    <row r="297" spans="13:15">
      <c r="M297" s="104"/>
      <c r="N297" s="114"/>
      <c r="O297" s="114"/>
    </row>
    <row r="298" spans="13:15">
      <c r="M298" s="104"/>
      <c r="N298" s="114"/>
      <c r="O298" s="114"/>
    </row>
    <row r="299" spans="13:15">
      <c r="M299" s="104"/>
      <c r="N299" s="114"/>
      <c r="O299" s="114"/>
    </row>
    <row r="300" spans="13:15">
      <c r="M300" s="104"/>
      <c r="N300" s="114"/>
      <c r="O300" s="114"/>
    </row>
    <row r="301" spans="13:15">
      <c r="M301" s="104"/>
      <c r="N301" s="114"/>
      <c r="O301" s="114"/>
    </row>
    <row r="302" spans="13:15">
      <c r="M302" s="104"/>
      <c r="N302" s="114"/>
      <c r="O302" s="114"/>
    </row>
    <row r="303" spans="13:15">
      <c r="M303" s="104"/>
      <c r="N303" s="114"/>
      <c r="O303" s="114"/>
    </row>
    <row r="304" spans="13:15">
      <c r="M304" s="104"/>
      <c r="N304" s="114"/>
      <c r="O304" s="114"/>
    </row>
    <row r="305" spans="13:15">
      <c r="M305" s="104"/>
      <c r="N305" s="114"/>
      <c r="O305" s="114"/>
    </row>
    <row r="306" spans="13:15">
      <c r="M306" s="104"/>
      <c r="N306" s="114"/>
      <c r="O306" s="114"/>
    </row>
    <row r="307" spans="13:15">
      <c r="M307" s="104"/>
      <c r="N307" s="114"/>
      <c r="O307" s="114"/>
    </row>
    <row r="308" spans="13:15">
      <c r="M308" s="104"/>
      <c r="N308" s="114"/>
      <c r="O308" s="114"/>
    </row>
    <row r="309" spans="13:15">
      <c r="M309" s="104"/>
      <c r="N309" s="114"/>
      <c r="O309" s="114"/>
    </row>
    <row r="310" spans="13:15">
      <c r="M310" s="104"/>
      <c r="N310" s="114"/>
      <c r="O310" s="114"/>
    </row>
    <row r="311" spans="13:15">
      <c r="M311" s="104"/>
      <c r="N311" s="114"/>
      <c r="O311" s="114"/>
    </row>
    <row r="312" spans="13:15">
      <c r="M312" s="104"/>
      <c r="N312" s="114"/>
      <c r="O312" s="114"/>
    </row>
    <row r="313" spans="13:15">
      <c r="M313" s="104"/>
      <c r="N313" s="114"/>
      <c r="O313" s="114"/>
    </row>
    <row r="314" spans="13:15">
      <c r="M314" s="104"/>
      <c r="N314" s="114"/>
      <c r="O314" s="114"/>
    </row>
    <row r="315" spans="13:15">
      <c r="M315" s="104"/>
      <c r="N315" s="114"/>
      <c r="O315" s="114"/>
    </row>
    <row r="316" spans="13:15">
      <c r="M316" s="104"/>
      <c r="N316" s="114"/>
      <c r="O316" s="114"/>
    </row>
    <row r="317" spans="13:15">
      <c r="M317" s="104"/>
      <c r="N317" s="114"/>
      <c r="O317" s="114"/>
    </row>
    <row r="318" spans="13:15">
      <c r="M318" s="104"/>
      <c r="N318" s="114"/>
      <c r="O318" s="114"/>
    </row>
    <row r="319" spans="13:15">
      <c r="M319" s="104"/>
      <c r="N319" s="114"/>
      <c r="O319" s="114"/>
    </row>
    <row r="320" spans="13:15">
      <c r="M320" s="104"/>
      <c r="N320" s="114"/>
      <c r="O320" s="114"/>
    </row>
    <row r="321" spans="13:15">
      <c r="M321" s="104"/>
      <c r="N321" s="114"/>
      <c r="O321" s="114"/>
    </row>
    <row r="322" spans="13:15">
      <c r="M322" s="104"/>
      <c r="N322" s="114"/>
      <c r="O322" s="114"/>
    </row>
    <row r="323" spans="13:15">
      <c r="M323" s="104"/>
      <c r="N323" s="114"/>
      <c r="O323" s="114"/>
    </row>
    <row r="324" spans="13:15">
      <c r="N324" s="114"/>
      <c r="O324" s="114"/>
    </row>
    <row r="325" spans="13:15">
      <c r="N325" s="114"/>
      <c r="O325" s="114"/>
    </row>
    <row r="326" spans="13:15">
      <c r="N326" s="114"/>
      <c r="O326" s="114"/>
    </row>
    <row r="327" spans="13:15">
      <c r="N327" s="114"/>
      <c r="O327" s="114"/>
    </row>
  </sheetData>
  <mergeCells count="3">
    <mergeCell ref="B1:K1"/>
    <mergeCell ref="B2:K2"/>
    <mergeCell ref="B3:F3"/>
  </mergeCells>
  <conditionalFormatting sqref="H5:J5">
    <cfRule type="cellIs" dxfId="0" priority="2" stopIfTrue="1" operator="equal">
      <formula>0</formula>
    </cfRule>
  </conditionalFormatting>
  <pageMargins left="0.19685039370078741" right="0.11811023622047245" top="0.78740157480314965" bottom="0.78740157480314965" header="0.31496062992125984" footer="0.31496062992125984"/>
  <pageSetup paperSize="9" scale="75" orientation="landscape" horizontalDpi="300" verticalDpi="300" r:id="rId1"/>
  <headerFooter>
    <oddHeader>&amp;LORÇAMENTO&amp;CUENP_CLM&amp;RNEAT</oddHeader>
    <oddFooter>&amp;L&amp;F&amp;C&amp;D&amp;R&amp;P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S162"/>
  <sheetViews>
    <sheetView zoomScale="90" zoomScaleNormal="90" workbookViewId="0">
      <selection activeCell="B2" sqref="B2"/>
    </sheetView>
  </sheetViews>
  <sheetFormatPr defaultRowHeight="15"/>
  <cols>
    <col min="1" max="1" width="5" customWidth="1"/>
    <col min="2" max="2" width="45.42578125" customWidth="1"/>
    <col min="3" max="3" width="12.42578125" customWidth="1"/>
    <col min="4" max="4" width="8.85546875" bestFit="1" customWidth="1"/>
    <col min="5" max="5" width="7.7109375" bestFit="1" customWidth="1"/>
    <col min="6" max="6" width="12.85546875" customWidth="1"/>
    <col min="7" max="7" width="7.7109375" bestFit="1" customWidth="1"/>
    <col min="8" max="8" width="12.140625" customWidth="1"/>
    <col min="9" max="9" width="7.7109375" bestFit="1" customWidth="1"/>
    <col min="10" max="10" width="12" customWidth="1"/>
    <col min="11" max="11" width="6.7109375" bestFit="1" customWidth="1"/>
    <col min="12" max="12" width="13.28515625" customWidth="1"/>
    <col min="13" max="13" width="8.85546875" bestFit="1" customWidth="1"/>
    <col min="14" max="14" width="13" customWidth="1"/>
    <col min="15" max="15" width="10.140625" hidden="1" customWidth="1"/>
    <col min="16" max="16" width="12.7109375" hidden="1" customWidth="1"/>
    <col min="17" max="17" width="7.42578125" bestFit="1" customWidth="1"/>
    <col min="18" max="18" width="12.28515625" bestFit="1" customWidth="1"/>
    <col min="257" max="257" width="5" customWidth="1"/>
    <col min="258" max="258" width="40.42578125" customWidth="1"/>
    <col min="259" max="259" width="12.42578125" customWidth="1"/>
    <col min="260" max="260" width="9.85546875" bestFit="1" customWidth="1"/>
    <col min="261" max="261" width="9.28515625" bestFit="1" customWidth="1"/>
    <col min="262" max="262" width="12.85546875" customWidth="1"/>
    <col min="263" max="263" width="11.140625" bestFit="1" customWidth="1"/>
    <col min="264" max="264" width="12.140625" customWidth="1"/>
    <col min="265" max="265" width="11" bestFit="1" customWidth="1"/>
    <col min="266" max="266" width="12" customWidth="1"/>
    <col min="267" max="267" width="11.140625" bestFit="1" customWidth="1"/>
    <col min="268" max="268" width="13.28515625" customWidth="1"/>
    <col min="269" max="269" width="11.140625" bestFit="1" customWidth="1"/>
    <col min="270" max="270" width="13" customWidth="1"/>
    <col min="271" max="272" width="0" hidden="1" customWidth="1"/>
    <col min="274" max="274" width="12.28515625" bestFit="1" customWidth="1"/>
    <col min="513" max="513" width="5" customWidth="1"/>
    <col min="514" max="514" width="40.42578125" customWidth="1"/>
    <col min="515" max="515" width="12.42578125" customWidth="1"/>
    <col min="516" max="516" width="9.85546875" bestFit="1" customWidth="1"/>
    <col min="517" max="517" width="9.28515625" bestFit="1" customWidth="1"/>
    <col min="518" max="518" width="12.85546875" customWidth="1"/>
    <col min="519" max="519" width="11.140625" bestFit="1" customWidth="1"/>
    <col min="520" max="520" width="12.140625" customWidth="1"/>
    <col min="521" max="521" width="11" bestFit="1" customWidth="1"/>
    <col min="522" max="522" width="12" customWidth="1"/>
    <col min="523" max="523" width="11.140625" bestFit="1" customWidth="1"/>
    <col min="524" max="524" width="13.28515625" customWidth="1"/>
    <col min="525" max="525" width="11.140625" bestFit="1" customWidth="1"/>
    <col min="526" max="526" width="13" customWidth="1"/>
    <col min="527" max="528" width="0" hidden="1" customWidth="1"/>
    <col min="530" max="530" width="12.28515625" bestFit="1" customWidth="1"/>
    <col min="769" max="769" width="5" customWidth="1"/>
    <col min="770" max="770" width="40.42578125" customWidth="1"/>
    <col min="771" max="771" width="12.42578125" customWidth="1"/>
    <col min="772" max="772" width="9.85546875" bestFit="1" customWidth="1"/>
    <col min="773" max="773" width="9.28515625" bestFit="1" customWidth="1"/>
    <col min="774" max="774" width="12.85546875" customWidth="1"/>
    <col min="775" max="775" width="11.140625" bestFit="1" customWidth="1"/>
    <col min="776" max="776" width="12.140625" customWidth="1"/>
    <col min="777" max="777" width="11" bestFit="1" customWidth="1"/>
    <col min="778" max="778" width="12" customWidth="1"/>
    <col min="779" max="779" width="11.140625" bestFit="1" customWidth="1"/>
    <col min="780" max="780" width="13.28515625" customWidth="1"/>
    <col min="781" max="781" width="11.140625" bestFit="1" customWidth="1"/>
    <col min="782" max="782" width="13" customWidth="1"/>
    <col min="783" max="784" width="0" hidden="1" customWidth="1"/>
    <col min="786" max="786" width="12.28515625" bestFit="1" customWidth="1"/>
    <col min="1025" max="1025" width="5" customWidth="1"/>
    <col min="1026" max="1026" width="40.42578125" customWidth="1"/>
    <col min="1027" max="1027" width="12.42578125" customWidth="1"/>
    <col min="1028" max="1028" width="9.85546875" bestFit="1" customWidth="1"/>
    <col min="1029" max="1029" width="9.28515625" bestFit="1" customWidth="1"/>
    <col min="1030" max="1030" width="12.85546875" customWidth="1"/>
    <col min="1031" max="1031" width="11.140625" bestFit="1" customWidth="1"/>
    <col min="1032" max="1032" width="12.140625" customWidth="1"/>
    <col min="1033" max="1033" width="11" bestFit="1" customWidth="1"/>
    <col min="1034" max="1034" width="12" customWidth="1"/>
    <col min="1035" max="1035" width="11.140625" bestFit="1" customWidth="1"/>
    <col min="1036" max="1036" width="13.28515625" customWidth="1"/>
    <col min="1037" max="1037" width="11.140625" bestFit="1" customWidth="1"/>
    <col min="1038" max="1038" width="13" customWidth="1"/>
    <col min="1039" max="1040" width="0" hidden="1" customWidth="1"/>
    <col min="1042" max="1042" width="12.28515625" bestFit="1" customWidth="1"/>
    <col min="1281" max="1281" width="5" customWidth="1"/>
    <col min="1282" max="1282" width="40.42578125" customWidth="1"/>
    <col min="1283" max="1283" width="12.42578125" customWidth="1"/>
    <col min="1284" max="1284" width="9.85546875" bestFit="1" customWidth="1"/>
    <col min="1285" max="1285" width="9.28515625" bestFit="1" customWidth="1"/>
    <col min="1286" max="1286" width="12.85546875" customWidth="1"/>
    <col min="1287" max="1287" width="11.140625" bestFit="1" customWidth="1"/>
    <col min="1288" max="1288" width="12.140625" customWidth="1"/>
    <col min="1289" max="1289" width="11" bestFit="1" customWidth="1"/>
    <col min="1290" max="1290" width="12" customWidth="1"/>
    <col min="1291" max="1291" width="11.140625" bestFit="1" customWidth="1"/>
    <col min="1292" max="1292" width="13.28515625" customWidth="1"/>
    <col min="1293" max="1293" width="11.140625" bestFit="1" customWidth="1"/>
    <col min="1294" max="1294" width="13" customWidth="1"/>
    <col min="1295" max="1296" width="0" hidden="1" customWidth="1"/>
    <col min="1298" max="1298" width="12.28515625" bestFit="1" customWidth="1"/>
    <col min="1537" max="1537" width="5" customWidth="1"/>
    <col min="1538" max="1538" width="40.42578125" customWidth="1"/>
    <col min="1539" max="1539" width="12.42578125" customWidth="1"/>
    <col min="1540" max="1540" width="9.85546875" bestFit="1" customWidth="1"/>
    <col min="1541" max="1541" width="9.28515625" bestFit="1" customWidth="1"/>
    <col min="1542" max="1542" width="12.85546875" customWidth="1"/>
    <col min="1543" max="1543" width="11.140625" bestFit="1" customWidth="1"/>
    <col min="1544" max="1544" width="12.140625" customWidth="1"/>
    <col min="1545" max="1545" width="11" bestFit="1" customWidth="1"/>
    <col min="1546" max="1546" width="12" customWidth="1"/>
    <col min="1547" max="1547" width="11.140625" bestFit="1" customWidth="1"/>
    <col min="1548" max="1548" width="13.28515625" customWidth="1"/>
    <col min="1549" max="1549" width="11.140625" bestFit="1" customWidth="1"/>
    <col min="1550" max="1550" width="13" customWidth="1"/>
    <col min="1551" max="1552" width="0" hidden="1" customWidth="1"/>
    <col min="1554" max="1554" width="12.28515625" bestFit="1" customWidth="1"/>
    <col min="1793" max="1793" width="5" customWidth="1"/>
    <col min="1794" max="1794" width="40.42578125" customWidth="1"/>
    <col min="1795" max="1795" width="12.42578125" customWidth="1"/>
    <col min="1796" max="1796" width="9.85546875" bestFit="1" customWidth="1"/>
    <col min="1797" max="1797" width="9.28515625" bestFit="1" customWidth="1"/>
    <col min="1798" max="1798" width="12.85546875" customWidth="1"/>
    <col min="1799" max="1799" width="11.140625" bestFit="1" customWidth="1"/>
    <col min="1800" max="1800" width="12.140625" customWidth="1"/>
    <col min="1801" max="1801" width="11" bestFit="1" customWidth="1"/>
    <col min="1802" max="1802" width="12" customWidth="1"/>
    <col min="1803" max="1803" width="11.140625" bestFit="1" customWidth="1"/>
    <col min="1804" max="1804" width="13.28515625" customWidth="1"/>
    <col min="1805" max="1805" width="11.140625" bestFit="1" customWidth="1"/>
    <col min="1806" max="1806" width="13" customWidth="1"/>
    <col min="1807" max="1808" width="0" hidden="1" customWidth="1"/>
    <col min="1810" max="1810" width="12.28515625" bestFit="1" customWidth="1"/>
    <col min="2049" max="2049" width="5" customWidth="1"/>
    <col min="2050" max="2050" width="40.42578125" customWidth="1"/>
    <col min="2051" max="2051" width="12.42578125" customWidth="1"/>
    <col min="2052" max="2052" width="9.85546875" bestFit="1" customWidth="1"/>
    <col min="2053" max="2053" width="9.28515625" bestFit="1" customWidth="1"/>
    <col min="2054" max="2054" width="12.85546875" customWidth="1"/>
    <col min="2055" max="2055" width="11.140625" bestFit="1" customWidth="1"/>
    <col min="2056" max="2056" width="12.140625" customWidth="1"/>
    <col min="2057" max="2057" width="11" bestFit="1" customWidth="1"/>
    <col min="2058" max="2058" width="12" customWidth="1"/>
    <col min="2059" max="2059" width="11.140625" bestFit="1" customWidth="1"/>
    <col min="2060" max="2060" width="13.28515625" customWidth="1"/>
    <col min="2061" max="2061" width="11.140625" bestFit="1" customWidth="1"/>
    <col min="2062" max="2062" width="13" customWidth="1"/>
    <col min="2063" max="2064" width="0" hidden="1" customWidth="1"/>
    <col min="2066" max="2066" width="12.28515625" bestFit="1" customWidth="1"/>
    <col min="2305" max="2305" width="5" customWidth="1"/>
    <col min="2306" max="2306" width="40.42578125" customWidth="1"/>
    <col min="2307" max="2307" width="12.42578125" customWidth="1"/>
    <col min="2308" max="2308" width="9.85546875" bestFit="1" customWidth="1"/>
    <col min="2309" max="2309" width="9.28515625" bestFit="1" customWidth="1"/>
    <col min="2310" max="2310" width="12.85546875" customWidth="1"/>
    <col min="2311" max="2311" width="11.140625" bestFit="1" customWidth="1"/>
    <col min="2312" max="2312" width="12.140625" customWidth="1"/>
    <col min="2313" max="2313" width="11" bestFit="1" customWidth="1"/>
    <col min="2314" max="2314" width="12" customWidth="1"/>
    <col min="2315" max="2315" width="11.140625" bestFit="1" customWidth="1"/>
    <col min="2316" max="2316" width="13.28515625" customWidth="1"/>
    <col min="2317" max="2317" width="11.140625" bestFit="1" customWidth="1"/>
    <col min="2318" max="2318" width="13" customWidth="1"/>
    <col min="2319" max="2320" width="0" hidden="1" customWidth="1"/>
    <col min="2322" max="2322" width="12.28515625" bestFit="1" customWidth="1"/>
    <col min="2561" max="2561" width="5" customWidth="1"/>
    <col min="2562" max="2562" width="40.42578125" customWidth="1"/>
    <col min="2563" max="2563" width="12.42578125" customWidth="1"/>
    <col min="2564" max="2564" width="9.85546875" bestFit="1" customWidth="1"/>
    <col min="2565" max="2565" width="9.28515625" bestFit="1" customWidth="1"/>
    <col min="2566" max="2566" width="12.85546875" customWidth="1"/>
    <col min="2567" max="2567" width="11.140625" bestFit="1" customWidth="1"/>
    <col min="2568" max="2568" width="12.140625" customWidth="1"/>
    <col min="2569" max="2569" width="11" bestFit="1" customWidth="1"/>
    <col min="2570" max="2570" width="12" customWidth="1"/>
    <col min="2571" max="2571" width="11.140625" bestFit="1" customWidth="1"/>
    <col min="2572" max="2572" width="13.28515625" customWidth="1"/>
    <col min="2573" max="2573" width="11.140625" bestFit="1" customWidth="1"/>
    <col min="2574" max="2574" width="13" customWidth="1"/>
    <col min="2575" max="2576" width="0" hidden="1" customWidth="1"/>
    <col min="2578" max="2578" width="12.28515625" bestFit="1" customWidth="1"/>
    <col min="2817" max="2817" width="5" customWidth="1"/>
    <col min="2818" max="2818" width="40.42578125" customWidth="1"/>
    <col min="2819" max="2819" width="12.42578125" customWidth="1"/>
    <col min="2820" max="2820" width="9.85546875" bestFit="1" customWidth="1"/>
    <col min="2821" max="2821" width="9.28515625" bestFit="1" customWidth="1"/>
    <col min="2822" max="2822" width="12.85546875" customWidth="1"/>
    <col min="2823" max="2823" width="11.140625" bestFit="1" customWidth="1"/>
    <col min="2824" max="2824" width="12.140625" customWidth="1"/>
    <col min="2825" max="2825" width="11" bestFit="1" customWidth="1"/>
    <col min="2826" max="2826" width="12" customWidth="1"/>
    <col min="2827" max="2827" width="11.140625" bestFit="1" customWidth="1"/>
    <col min="2828" max="2828" width="13.28515625" customWidth="1"/>
    <col min="2829" max="2829" width="11.140625" bestFit="1" customWidth="1"/>
    <col min="2830" max="2830" width="13" customWidth="1"/>
    <col min="2831" max="2832" width="0" hidden="1" customWidth="1"/>
    <col min="2834" max="2834" width="12.28515625" bestFit="1" customWidth="1"/>
    <col min="3073" max="3073" width="5" customWidth="1"/>
    <col min="3074" max="3074" width="40.42578125" customWidth="1"/>
    <col min="3075" max="3075" width="12.42578125" customWidth="1"/>
    <col min="3076" max="3076" width="9.85546875" bestFit="1" customWidth="1"/>
    <col min="3077" max="3077" width="9.28515625" bestFit="1" customWidth="1"/>
    <col min="3078" max="3078" width="12.85546875" customWidth="1"/>
    <col min="3079" max="3079" width="11.140625" bestFit="1" customWidth="1"/>
    <col min="3080" max="3080" width="12.140625" customWidth="1"/>
    <col min="3081" max="3081" width="11" bestFit="1" customWidth="1"/>
    <col min="3082" max="3082" width="12" customWidth="1"/>
    <col min="3083" max="3083" width="11.140625" bestFit="1" customWidth="1"/>
    <col min="3084" max="3084" width="13.28515625" customWidth="1"/>
    <col min="3085" max="3085" width="11.140625" bestFit="1" customWidth="1"/>
    <col min="3086" max="3086" width="13" customWidth="1"/>
    <col min="3087" max="3088" width="0" hidden="1" customWidth="1"/>
    <col min="3090" max="3090" width="12.28515625" bestFit="1" customWidth="1"/>
    <col min="3329" max="3329" width="5" customWidth="1"/>
    <col min="3330" max="3330" width="40.42578125" customWidth="1"/>
    <col min="3331" max="3331" width="12.42578125" customWidth="1"/>
    <col min="3332" max="3332" width="9.85546875" bestFit="1" customWidth="1"/>
    <col min="3333" max="3333" width="9.28515625" bestFit="1" customWidth="1"/>
    <col min="3334" max="3334" width="12.85546875" customWidth="1"/>
    <col min="3335" max="3335" width="11.140625" bestFit="1" customWidth="1"/>
    <col min="3336" max="3336" width="12.140625" customWidth="1"/>
    <col min="3337" max="3337" width="11" bestFit="1" customWidth="1"/>
    <col min="3338" max="3338" width="12" customWidth="1"/>
    <col min="3339" max="3339" width="11.140625" bestFit="1" customWidth="1"/>
    <col min="3340" max="3340" width="13.28515625" customWidth="1"/>
    <col min="3341" max="3341" width="11.140625" bestFit="1" customWidth="1"/>
    <col min="3342" max="3342" width="13" customWidth="1"/>
    <col min="3343" max="3344" width="0" hidden="1" customWidth="1"/>
    <col min="3346" max="3346" width="12.28515625" bestFit="1" customWidth="1"/>
    <col min="3585" max="3585" width="5" customWidth="1"/>
    <col min="3586" max="3586" width="40.42578125" customWidth="1"/>
    <col min="3587" max="3587" width="12.42578125" customWidth="1"/>
    <col min="3588" max="3588" width="9.85546875" bestFit="1" customWidth="1"/>
    <col min="3589" max="3589" width="9.28515625" bestFit="1" customWidth="1"/>
    <col min="3590" max="3590" width="12.85546875" customWidth="1"/>
    <col min="3591" max="3591" width="11.140625" bestFit="1" customWidth="1"/>
    <col min="3592" max="3592" width="12.140625" customWidth="1"/>
    <col min="3593" max="3593" width="11" bestFit="1" customWidth="1"/>
    <col min="3594" max="3594" width="12" customWidth="1"/>
    <col min="3595" max="3595" width="11.140625" bestFit="1" customWidth="1"/>
    <col min="3596" max="3596" width="13.28515625" customWidth="1"/>
    <col min="3597" max="3597" width="11.140625" bestFit="1" customWidth="1"/>
    <col min="3598" max="3598" width="13" customWidth="1"/>
    <col min="3599" max="3600" width="0" hidden="1" customWidth="1"/>
    <col min="3602" max="3602" width="12.28515625" bestFit="1" customWidth="1"/>
    <col min="3841" max="3841" width="5" customWidth="1"/>
    <col min="3842" max="3842" width="40.42578125" customWidth="1"/>
    <col min="3843" max="3843" width="12.42578125" customWidth="1"/>
    <col min="3844" max="3844" width="9.85546875" bestFit="1" customWidth="1"/>
    <col min="3845" max="3845" width="9.28515625" bestFit="1" customWidth="1"/>
    <col min="3846" max="3846" width="12.85546875" customWidth="1"/>
    <col min="3847" max="3847" width="11.140625" bestFit="1" customWidth="1"/>
    <col min="3848" max="3848" width="12.140625" customWidth="1"/>
    <col min="3849" max="3849" width="11" bestFit="1" customWidth="1"/>
    <col min="3850" max="3850" width="12" customWidth="1"/>
    <col min="3851" max="3851" width="11.140625" bestFit="1" customWidth="1"/>
    <col min="3852" max="3852" width="13.28515625" customWidth="1"/>
    <col min="3853" max="3853" width="11.140625" bestFit="1" customWidth="1"/>
    <col min="3854" max="3854" width="13" customWidth="1"/>
    <col min="3855" max="3856" width="0" hidden="1" customWidth="1"/>
    <col min="3858" max="3858" width="12.28515625" bestFit="1" customWidth="1"/>
    <col min="4097" max="4097" width="5" customWidth="1"/>
    <col min="4098" max="4098" width="40.42578125" customWidth="1"/>
    <col min="4099" max="4099" width="12.42578125" customWidth="1"/>
    <col min="4100" max="4100" width="9.85546875" bestFit="1" customWidth="1"/>
    <col min="4101" max="4101" width="9.28515625" bestFit="1" customWidth="1"/>
    <col min="4102" max="4102" width="12.85546875" customWidth="1"/>
    <col min="4103" max="4103" width="11.140625" bestFit="1" customWidth="1"/>
    <col min="4104" max="4104" width="12.140625" customWidth="1"/>
    <col min="4105" max="4105" width="11" bestFit="1" customWidth="1"/>
    <col min="4106" max="4106" width="12" customWidth="1"/>
    <col min="4107" max="4107" width="11.140625" bestFit="1" customWidth="1"/>
    <col min="4108" max="4108" width="13.28515625" customWidth="1"/>
    <col min="4109" max="4109" width="11.140625" bestFit="1" customWidth="1"/>
    <col min="4110" max="4110" width="13" customWidth="1"/>
    <col min="4111" max="4112" width="0" hidden="1" customWidth="1"/>
    <col min="4114" max="4114" width="12.28515625" bestFit="1" customWidth="1"/>
    <col min="4353" max="4353" width="5" customWidth="1"/>
    <col min="4354" max="4354" width="40.42578125" customWidth="1"/>
    <col min="4355" max="4355" width="12.42578125" customWidth="1"/>
    <col min="4356" max="4356" width="9.85546875" bestFit="1" customWidth="1"/>
    <col min="4357" max="4357" width="9.28515625" bestFit="1" customWidth="1"/>
    <col min="4358" max="4358" width="12.85546875" customWidth="1"/>
    <col min="4359" max="4359" width="11.140625" bestFit="1" customWidth="1"/>
    <col min="4360" max="4360" width="12.140625" customWidth="1"/>
    <col min="4361" max="4361" width="11" bestFit="1" customWidth="1"/>
    <col min="4362" max="4362" width="12" customWidth="1"/>
    <col min="4363" max="4363" width="11.140625" bestFit="1" customWidth="1"/>
    <col min="4364" max="4364" width="13.28515625" customWidth="1"/>
    <col min="4365" max="4365" width="11.140625" bestFit="1" customWidth="1"/>
    <col min="4366" max="4366" width="13" customWidth="1"/>
    <col min="4367" max="4368" width="0" hidden="1" customWidth="1"/>
    <col min="4370" max="4370" width="12.28515625" bestFit="1" customWidth="1"/>
    <col min="4609" max="4609" width="5" customWidth="1"/>
    <col min="4610" max="4610" width="40.42578125" customWidth="1"/>
    <col min="4611" max="4611" width="12.42578125" customWidth="1"/>
    <col min="4612" max="4612" width="9.85546875" bestFit="1" customWidth="1"/>
    <col min="4613" max="4613" width="9.28515625" bestFit="1" customWidth="1"/>
    <col min="4614" max="4614" width="12.85546875" customWidth="1"/>
    <col min="4615" max="4615" width="11.140625" bestFit="1" customWidth="1"/>
    <col min="4616" max="4616" width="12.140625" customWidth="1"/>
    <col min="4617" max="4617" width="11" bestFit="1" customWidth="1"/>
    <col min="4618" max="4618" width="12" customWidth="1"/>
    <col min="4619" max="4619" width="11.140625" bestFit="1" customWidth="1"/>
    <col min="4620" max="4620" width="13.28515625" customWidth="1"/>
    <col min="4621" max="4621" width="11.140625" bestFit="1" customWidth="1"/>
    <col min="4622" max="4622" width="13" customWidth="1"/>
    <col min="4623" max="4624" width="0" hidden="1" customWidth="1"/>
    <col min="4626" max="4626" width="12.28515625" bestFit="1" customWidth="1"/>
    <col min="4865" max="4865" width="5" customWidth="1"/>
    <col min="4866" max="4866" width="40.42578125" customWidth="1"/>
    <col min="4867" max="4867" width="12.42578125" customWidth="1"/>
    <col min="4868" max="4868" width="9.85546875" bestFit="1" customWidth="1"/>
    <col min="4869" max="4869" width="9.28515625" bestFit="1" customWidth="1"/>
    <col min="4870" max="4870" width="12.85546875" customWidth="1"/>
    <col min="4871" max="4871" width="11.140625" bestFit="1" customWidth="1"/>
    <col min="4872" max="4872" width="12.140625" customWidth="1"/>
    <col min="4873" max="4873" width="11" bestFit="1" customWidth="1"/>
    <col min="4874" max="4874" width="12" customWidth="1"/>
    <col min="4875" max="4875" width="11.140625" bestFit="1" customWidth="1"/>
    <col min="4876" max="4876" width="13.28515625" customWidth="1"/>
    <col min="4877" max="4877" width="11.140625" bestFit="1" customWidth="1"/>
    <col min="4878" max="4878" width="13" customWidth="1"/>
    <col min="4879" max="4880" width="0" hidden="1" customWidth="1"/>
    <col min="4882" max="4882" width="12.28515625" bestFit="1" customWidth="1"/>
    <col min="5121" max="5121" width="5" customWidth="1"/>
    <col min="5122" max="5122" width="40.42578125" customWidth="1"/>
    <col min="5123" max="5123" width="12.42578125" customWidth="1"/>
    <col min="5124" max="5124" width="9.85546875" bestFit="1" customWidth="1"/>
    <col min="5125" max="5125" width="9.28515625" bestFit="1" customWidth="1"/>
    <col min="5126" max="5126" width="12.85546875" customWidth="1"/>
    <col min="5127" max="5127" width="11.140625" bestFit="1" customWidth="1"/>
    <col min="5128" max="5128" width="12.140625" customWidth="1"/>
    <col min="5129" max="5129" width="11" bestFit="1" customWidth="1"/>
    <col min="5130" max="5130" width="12" customWidth="1"/>
    <col min="5131" max="5131" width="11.140625" bestFit="1" customWidth="1"/>
    <col min="5132" max="5132" width="13.28515625" customWidth="1"/>
    <col min="5133" max="5133" width="11.140625" bestFit="1" customWidth="1"/>
    <col min="5134" max="5134" width="13" customWidth="1"/>
    <col min="5135" max="5136" width="0" hidden="1" customWidth="1"/>
    <col min="5138" max="5138" width="12.28515625" bestFit="1" customWidth="1"/>
    <col min="5377" max="5377" width="5" customWidth="1"/>
    <col min="5378" max="5378" width="40.42578125" customWidth="1"/>
    <col min="5379" max="5379" width="12.42578125" customWidth="1"/>
    <col min="5380" max="5380" width="9.85546875" bestFit="1" customWidth="1"/>
    <col min="5381" max="5381" width="9.28515625" bestFit="1" customWidth="1"/>
    <col min="5382" max="5382" width="12.85546875" customWidth="1"/>
    <col min="5383" max="5383" width="11.140625" bestFit="1" customWidth="1"/>
    <col min="5384" max="5384" width="12.140625" customWidth="1"/>
    <col min="5385" max="5385" width="11" bestFit="1" customWidth="1"/>
    <col min="5386" max="5386" width="12" customWidth="1"/>
    <col min="5387" max="5387" width="11.140625" bestFit="1" customWidth="1"/>
    <col min="5388" max="5388" width="13.28515625" customWidth="1"/>
    <col min="5389" max="5389" width="11.140625" bestFit="1" customWidth="1"/>
    <col min="5390" max="5390" width="13" customWidth="1"/>
    <col min="5391" max="5392" width="0" hidden="1" customWidth="1"/>
    <col min="5394" max="5394" width="12.28515625" bestFit="1" customWidth="1"/>
    <col min="5633" max="5633" width="5" customWidth="1"/>
    <col min="5634" max="5634" width="40.42578125" customWidth="1"/>
    <col min="5635" max="5635" width="12.42578125" customWidth="1"/>
    <col min="5636" max="5636" width="9.85546875" bestFit="1" customWidth="1"/>
    <col min="5637" max="5637" width="9.28515625" bestFit="1" customWidth="1"/>
    <col min="5638" max="5638" width="12.85546875" customWidth="1"/>
    <col min="5639" max="5639" width="11.140625" bestFit="1" customWidth="1"/>
    <col min="5640" max="5640" width="12.140625" customWidth="1"/>
    <col min="5641" max="5641" width="11" bestFit="1" customWidth="1"/>
    <col min="5642" max="5642" width="12" customWidth="1"/>
    <col min="5643" max="5643" width="11.140625" bestFit="1" customWidth="1"/>
    <col min="5644" max="5644" width="13.28515625" customWidth="1"/>
    <col min="5645" max="5645" width="11.140625" bestFit="1" customWidth="1"/>
    <col min="5646" max="5646" width="13" customWidth="1"/>
    <col min="5647" max="5648" width="0" hidden="1" customWidth="1"/>
    <col min="5650" max="5650" width="12.28515625" bestFit="1" customWidth="1"/>
    <col min="5889" max="5889" width="5" customWidth="1"/>
    <col min="5890" max="5890" width="40.42578125" customWidth="1"/>
    <col min="5891" max="5891" width="12.42578125" customWidth="1"/>
    <col min="5892" max="5892" width="9.85546875" bestFit="1" customWidth="1"/>
    <col min="5893" max="5893" width="9.28515625" bestFit="1" customWidth="1"/>
    <col min="5894" max="5894" width="12.85546875" customWidth="1"/>
    <col min="5895" max="5895" width="11.140625" bestFit="1" customWidth="1"/>
    <col min="5896" max="5896" width="12.140625" customWidth="1"/>
    <col min="5897" max="5897" width="11" bestFit="1" customWidth="1"/>
    <col min="5898" max="5898" width="12" customWidth="1"/>
    <col min="5899" max="5899" width="11.140625" bestFit="1" customWidth="1"/>
    <col min="5900" max="5900" width="13.28515625" customWidth="1"/>
    <col min="5901" max="5901" width="11.140625" bestFit="1" customWidth="1"/>
    <col min="5902" max="5902" width="13" customWidth="1"/>
    <col min="5903" max="5904" width="0" hidden="1" customWidth="1"/>
    <col min="5906" max="5906" width="12.28515625" bestFit="1" customWidth="1"/>
    <col min="6145" max="6145" width="5" customWidth="1"/>
    <col min="6146" max="6146" width="40.42578125" customWidth="1"/>
    <col min="6147" max="6147" width="12.42578125" customWidth="1"/>
    <col min="6148" max="6148" width="9.85546875" bestFit="1" customWidth="1"/>
    <col min="6149" max="6149" width="9.28515625" bestFit="1" customWidth="1"/>
    <col min="6150" max="6150" width="12.85546875" customWidth="1"/>
    <col min="6151" max="6151" width="11.140625" bestFit="1" customWidth="1"/>
    <col min="6152" max="6152" width="12.140625" customWidth="1"/>
    <col min="6153" max="6153" width="11" bestFit="1" customWidth="1"/>
    <col min="6154" max="6154" width="12" customWidth="1"/>
    <col min="6155" max="6155" width="11.140625" bestFit="1" customWidth="1"/>
    <col min="6156" max="6156" width="13.28515625" customWidth="1"/>
    <col min="6157" max="6157" width="11.140625" bestFit="1" customWidth="1"/>
    <col min="6158" max="6158" width="13" customWidth="1"/>
    <col min="6159" max="6160" width="0" hidden="1" customWidth="1"/>
    <col min="6162" max="6162" width="12.28515625" bestFit="1" customWidth="1"/>
    <col min="6401" max="6401" width="5" customWidth="1"/>
    <col min="6402" max="6402" width="40.42578125" customWidth="1"/>
    <col min="6403" max="6403" width="12.42578125" customWidth="1"/>
    <col min="6404" max="6404" width="9.85546875" bestFit="1" customWidth="1"/>
    <col min="6405" max="6405" width="9.28515625" bestFit="1" customWidth="1"/>
    <col min="6406" max="6406" width="12.85546875" customWidth="1"/>
    <col min="6407" max="6407" width="11.140625" bestFit="1" customWidth="1"/>
    <col min="6408" max="6408" width="12.140625" customWidth="1"/>
    <col min="6409" max="6409" width="11" bestFit="1" customWidth="1"/>
    <col min="6410" max="6410" width="12" customWidth="1"/>
    <col min="6411" max="6411" width="11.140625" bestFit="1" customWidth="1"/>
    <col min="6412" max="6412" width="13.28515625" customWidth="1"/>
    <col min="6413" max="6413" width="11.140625" bestFit="1" customWidth="1"/>
    <col min="6414" max="6414" width="13" customWidth="1"/>
    <col min="6415" max="6416" width="0" hidden="1" customWidth="1"/>
    <col min="6418" max="6418" width="12.28515625" bestFit="1" customWidth="1"/>
    <col min="6657" max="6657" width="5" customWidth="1"/>
    <col min="6658" max="6658" width="40.42578125" customWidth="1"/>
    <col min="6659" max="6659" width="12.42578125" customWidth="1"/>
    <col min="6660" max="6660" width="9.85546875" bestFit="1" customWidth="1"/>
    <col min="6661" max="6661" width="9.28515625" bestFit="1" customWidth="1"/>
    <col min="6662" max="6662" width="12.85546875" customWidth="1"/>
    <col min="6663" max="6663" width="11.140625" bestFit="1" customWidth="1"/>
    <col min="6664" max="6664" width="12.140625" customWidth="1"/>
    <col min="6665" max="6665" width="11" bestFit="1" customWidth="1"/>
    <col min="6666" max="6666" width="12" customWidth="1"/>
    <col min="6667" max="6667" width="11.140625" bestFit="1" customWidth="1"/>
    <col min="6668" max="6668" width="13.28515625" customWidth="1"/>
    <col min="6669" max="6669" width="11.140625" bestFit="1" customWidth="1"/>
    <col min="6670" max="6670" width="13" customWidth="1"/>
    <col min="6671" max="6672" width="0" hidden="1" customWidth="1"/>
    <col min="6674" max="6674" width="12.28515625" bestFit="1" customWidth="1"/>
    <col min="6913" max="6913" width="5" customWidth="1"/>
    <col min="6914" max="6914" width="40.42578125" customWidth="1"/>
    <col min="6915" max="6915" width="12.42578125" customWidth="1"/>
    <col min="6916" max="6916" width="9.85546875" bestFit="1" customWidth="1"/>
    <col min="6917" max="6917" width="9.28515625" bestFit="1" customWidth="1"/>
    <col min="6918" max="6918" width="12.85546875" customWidth="1"/>
    <col min="6919" max="6919" width="11.140625" bestFit="1" customWidth="1"/>
    <col min="6920" max="6920" width="12.140625" customWidth="1"/>
    <col min="6921" max="6921" width="11" bestFit="1" customWidth="1"/>
    <col min="6922" max="6922" width="12" customWidth="1"/>
    <col min="6923" max="6923" width="11.140625" bestFit="1" customWidth="1"/>
    <col min="6924" max="6924" width="13.28515625" customWidth="1"/>
    <col min="6925" max="6925" width="11.140625" bestFit="1" customWidth="1"/>
    <col min="6926" max="6926" width="13" customWidth="1"/>
    <col min="6927" max="6928" width="0" hidden="1" customWidth="1"/>
    <col min="6930" max="6930" width="12.28515625" bestFit="1" customWidth="1"/>
    <col min="7169" max="7169" width="5" customWidth="1"/>
    <col min="7170" max="7170" width="40.42578125" customWidth="1"/>
    <col min="7171" max="7171" width="12.42578125" customWidth="1"/>
    <col min="7172" max="7172" width="9.85546875" bestFit="1" customWidth="1"/>
    <col min="7173" max="7173" width="9.28515625" bestFit="1" customWidth="1"/>
    <col min="7174" max="7174" width="12.85546875" customWidth="1"/>
    <col min="7175" max="7175" width="11.140625" bestFit="1" customWidth="1"/>
    <col min="7176" max="7176" width="12.140625" customWidth="1"/>
    <col min="7177" max="7177" width="11" bestFit="1" customWidth="1"/>
    <col min="7178" max="7178" width="12" customWidth="1"/>
    <col min="7179" max="7179" width="11.140625" bestFit="1" customWidth="1"/>
    <col min="7180" max="7180" width="13.28515625" customWidth="1"/>
    <col min="7181" max="7181" width="11.140625" bestFit="1" customWidth="1"/>
    <col min="7182" max="7182" width="13" customWidth="1"/>
    <col min="7183" max="7184" width="0" hidden="1" customWidth="1"/>
    <col min="7186" max="7186" width="12.28515625" bestFit="1" customWidth="1"/>
    <col min="7425" max="7425" width="5" customWidth="1"/>
    <col min="7426" max="7426" width="40.42578125" customWidth="1"/>
    <col min="7427" max="7427" width="12.42578125" customWidth="1"/>
    <col min="7428" max="7428" width="9.85546875" bestFit="1" customWidth="1"/>
    <col min="7429" max="7429" width="9.28515625" bestFit="1" customWidth="1"/>
    <col min="7430" max="7430" width="12.85546875" customWidth="1"/>
    <col min="7431" max="7431" width="11.140625" bestFit="1" customWidth="1"/>
    <col min="7432" max="7432" width="12.140625" customWidth="1"/>
    <col min="7433" max="7433" width="11" bestFit="1" customWidth="1"/>
    <col min="7434" max="7434" width="12" customWidth="1"/>
    <col min="7435" max="7435" width="11.140625" bestFit="1" customWidth="1"/>
    <col min="7436" max="7436" width="13.28515625" customWidth="1"/>
    <col min="7437" max="7437" width="11.140625" bestFit="1" customWidth="1"/>
    <col min="7438" max="7438" width="13" customWidth="1"/>
    <col min="7439" max="7440" width="0" hidden="1" customWidth="1"/>
    <col min="7442" max="7442" width="12.28515625" bestFit="1" customWidth="1"/>
    <col min="7681" max="7681" width="5" customWidth="1"/>
    <col min="7682" max="7682" width="40.42578125" customWidth="1"/>
    <col min="7683" max="7683" width="12.42578125" customWidth="1"/>
    <col min="7684" max="7684" width="9.85546875" bestFit="1" customWidth="1"/>
    <col min="7685" max="7685" width="9.28515625" bestFit="1" customWidth="1"/>
    <col min="7686" max="7686" width="12.85546875" customWidth="1"/>
    <col min="7687" max="7687" width="11.140625" bestFit="1" customWidth="1"/>
    <col min="7688" max="7688" width="12.140625" customWidth="1"/>
    <col min="7689" max="7689" width="11" bestFit="1" customWidth="1"/>
    <col min="7690" max="7690" width="12" customWidth="1"/>
    <col min="7691" max="7691" width="11.140625" bestFit="1" customWidth="1"/>
    <col min="7692" max="7692" width="13.28515625" customWidth="1"/>
    <col min="7693" max="7693" width="11.140625" bestFit="1" customWidth="1"/>
    <col min="7694" max="7694" width="13" customWidth="1"/>
    <col min="7695" max="7696" width="0" hidden="1" customWidth="1"/>
    <col min="7698" max="7698" width="12.28515625" bestFit="1" customWidth="1"/>
    <col min="7937" max="7937" width="5" customWidth="1"/>
    <col min="7938" max="7938" width="40.42578125" customWidth="1"/>
    <col min="7939" max="7939" width="12.42578125" customWidth="1"/>
    <col min="7940" max="7940" width="9.85546875" bestFit="1" customWidth="1"/>
    <col min="7941" max="7941" width="9.28515625" bestFit="1" customWidth="1"/>
    <col min="7942" max="7942" width="12.85546875" customWidth="1"/>
    <col min="7943" max="7943" width="11.140625" bestFit="1" customWidth="1"/>
    <col min="7944" max="7944" width="12.140625" customWidth="1"/>
    <col min="7945" max="7945" width="11" bestFit="1" customWidth="1"/>
    <col min="7946" max="7946" width="12" customWidth="1"/>
    <col min="7947" max="7947" width="11.140625" bestFit="1" customWidth="1"/>
    <col min="7948" max="7948" width="13.28515625" customWidth="1"/>
    <col min="7949" max="7949" width="11.140625" bestFit="1" customWidth="1"/>
    <col min="7950" max="7950" width="13" customWidth="1"/>
    <col min="7951" max="7952" width="0" hidden="1" customWidth="1"/>
    <col min="7954" max="7954" width="12.28515625" bestFit="1" customWidth="1"/>
    <col min="8193" max="8193" width="5" customWidth="1"/>
    <col min="8194" max="8194" width="40.42578125" customWidth="1"/>
    <col min="8195" max="8195" width="12.42578125" customWidth="1"/>
    <col min="8196" max="8196" width="9.85546875" bestFit="1" customWidth="1"/>
    <col min="8197" max="8197" width="9.28515625" bestFit="1" customWidth="1"/>
    <col min="8198" max="8198" width="12.85546875" customWidth="1"/>
    <col min="8199" max="8199" width="11.140625" bestFit="1" customWidth="1"/>
    <col min="8200" max="8200" width="12.140625" customWidth="1"/>
    <col min="8201" max="8201" width="11" bestFit="1" customWidth="1"/>
    <col min="8202" max="8202" width="12" customWidth="1"/>
    <col min="8203" max="8203" width="11.140625" bestFit="1" customWidth="1"/>
    <col min="8204" max="8204" width="13.28515625" customWidth="1"/>
    <col min="8205" max="8205" width="11.140625" bestFit="1" customWidth="1"/>
    <col min="8206" max="8206" width="13" customWidth="1"/>
    <col min="8207" max="8208" width="0" hidden="1" customWidth="1"/>
    <col min="8210" max="8210" width="12.28515625" bestFit="1" customWidth="1"/>
    <col min="8449" max="8449" width="5" customWidth="1"/>
    <col min="8450" max="8450" width="40.42578125" customWidth="1"/>
    <col min="8451" max="8451" width="12.42578125" customWidth="1"/>
    <col min="8452" max="8452" width="9.85546875" bestFit="1" customWidth="1"/>
    <col min="8453" max="8453" width="9.28515625" bestFit="1" customWidth="1"/>
    <col min="8454" max="8454" width="12.85546875" customWidth="1"/>
    <col min="8455" max="8455" width="11.140625" bestFit="1" customWidth="1"/>
    <col min="8456" max="8456" width="12.140625" customWidth="1"/>
    <col min="8457" max="8457" width="11" bestFit="1" customWidth="1"/>
    <col min="8458" max="8458" width="12" customWidth="1"/>
    <col min="8459" max="8459" width="11.140625" bestFit="1" customWidth="1"/>
    <col min="8460" max="8460" width="13.28515625" customWidth="1"/>
    <col min="8461" max="8461" width="11.140625" bestFit="1" customWidth="1"/>
    <col min="8462" max="8462" width="13" customWidth="1"/>
    <col min="8463" max="8464" width="0" hidden="1" customWidth="1"/>
    <col min="8466" max="8466" width="12.28515625" bestFit="1" customWidth="1"/>
    <col min="8705" max="8705" width="5" customWidth="1"/>
    <col min="8706" max="8706" width="40.42578125" customWidth="1"/>
    <col min="8707" max="8707" width="12.42578125" customWidth="1"/>
    <col min="8708" max="8708" width="9.85546875" bestFit="1" customWidth="1"/>
    <col min="8709" max="8709" width="9.28515625" bestFit="1" customWidth="1"/>
    <col min="8710" max="8710" width="12.85546875" customWidth="1"/>
    <col min="8711" max="8711" width="11.140625" bestFit="1" customWidth="1"/>
    <col min="8712" max="8712" width="12.140625" customWidth="1"/>
    <col min="8713" max="8713" width="11" bestFit="1" customWidth="1"/>
    <col min="8714" max="8714" width="12" customWidth="1"/>
    <col min="8715" max="8715" width="11.140625" bestFit="1" customWidth="1"/>
    <col min="8716" max="8716" width="13.28515625" customWidth="1"/>
    <col min="8717" max="8717" width="11.140625" bestFit="1" customWidth="1"/>
    <col min="8718" max="8718" width="13" customWidth="1"/>
    <col min="8719" max="8720" width="0" hidden="1" customWidth="1"/>
    <col min="8722" max="8722" width="12.28515625" bestFit="1" customWidth="1"/>
    <col min="8961" max="8961" width="5" customWidth="1"/>
    <col min="8962" max="8962" width="40.42578125" customWidth="1"/>
    <col min="8963" max="8963" width="12.42578125" customWidth="1"/>
    <col min="8964" max="8964" width="9.85546875" bestFit="1" customWidth="1"/>
    <col min="8965" max="8965" width="9.28515625" bestFit="1" customWidth="1"/>
    <col min="8966" max="8966" width="12.85546875" customWidth="1"/>
    <col min="8967" max="8967" width="11.140625" bestFit="1" customWidth="1"/>
    <col min="8968" max="8968" width="12.140625" customWidth="1"/>
    <col min="8969" max="8969" width="11" bestFit="1" customWidth="1"/>
    <col min="8970" max="8970" width="12" customWidth="1"/>
    <col min="8971" max="8971" width="11.140625" bestFit="1" customWidth="1"/>
    <col min="8972" max="8972" width="13.28515625" customWidth="1"/>
    <col min="8973" max="8973" width="11.140625" bestFit="1" customWidth="1"/>
    <col min="8974" max="8974" width="13" customWidth="1"/>
    <col min="8975" max="8976" width="0" hidden="1" customWidth="1"/>
    <col min="8978" max="8978" width="12.28515625" bestFit="1" customWidth="1"/>
    <col min="9217" max="9217" width="5" customWidth="1"/>
    <col min="9218" max="9218" width="40.42578125" customWidth="1"/>
    <col min="9219" max="9219" width="12.42578125" customWidth="1"/>
    <col min="9220" max="9220" width="9.85546875" bestFit="1" customWidth="1"/>
    <col min="9221" max="9221" width="9.28515625" bestFit="1" customWidth="1"/>
    <col min="9222" max="9222" width="12.85546875" customWidth="1"/>
    <col min="9223" max="9223" width="11.140625" bestFit="1" customWidth="1"/>
    <col min="9224" max="9224" width="12.140625" customWidth="1"/>
    <col min="9225" max="9225" width="11" bestFit="1" customWidth="1"/>
    <col min="9226" max="9226" width="12" customWidth="1"/>
    <col min="9227" max="9227" width="11.140625" bestFit="1" customWidth="1"/>
    <col min="9228" max="9228" width="13.28515625" customWidth="1"/>
    <col min="9229" max="9229" width="11.140625" bestFit="1" customWidth="1"/>
    <col min="9230" max="9230" width="13" customWidth="1"/>
    <col min="9231" max="9232" width="0" hidden="1" customWidth="1"/>
    <col min="9234" max="9234" width="12.28515625" bestFit="1" customWidth="1"/>
    <col min="9473" max="9473" width="5" customWidth="1"/>
    <col min="9474" max="9474" width="40.42578125" customWidth="1"/>
    <col min="9475" max="9475" width="12.42578125" customWidth="1"/>
    <col min="9476" max="9476" width="9.85546875" bestFit="1" customWidth="1"/>
    <col min="9477" max="9477" width="9.28515625" bestFit="1" customWidth="1"/>
    <col min="9478" max="9478" width="12.85546875" customWidth="1"/>
    <col min="9479" max="9479" width="11.140625" bestFit="1" customWidth="1"/>
    <col min="9480" max="9480" width="12.140625" customWidth="1"/>
    <col min="9481" max="9481" width="11" bestFit="1" customWidth="1"/>
    <col min="9482" max="9482" width="12" customWidth="1"/>
    <col min="9483" max="9483" width="11.140625" bestFit="1" customWidth="1"/>
    <col min="9484" max="9484" width="13.28515625" customWidth="1"/>
    <col min="9485" max="9485" width="11.140625" bestFit="1" customWidth="1"/>
    <col min="9486" max="9486" width="13" customWidth="1"/>
    <col min="9487" max="9488" width="0" hidden="1" customWidth="1"/>
    <col min="9490" max="9490" width="12.28515625" bestFit="1" customWidth="1"/>
    <col min="9729" max="9729" width="5" customWidth="1"/>
    <col min="9730" max="9730" width="40.42578125" customWidth="1"/>
    <col min="9731" max="9731" width="12.42578125" customWidth="1"/>
    <col min="9732" max="9732" width="9.85546875" bestFit="1" customWidth="1"/>
    <col min="9733" max="9733" width="9.28515625" bestFit="1" customWidth="1"/>
    <col min="9734" max="9734" width="12.85546875" customWidth="1"/>
    <col min="9735" max="9735" width="11.140625" bestFit="1" customWidth="1"/>
    <col min="9736" max="9736" width="12.140625" customWidth="1"/>
    <col min="9737" max="9737" width="11" bestFit="1" customWidth="1"/>
    <col min="9738" max="9738" width="12" customWidth="1"/>
    <col min="9739" max="9739" width="11.140625" bestFit="1" customWidth="1"/>
    <col min="9740" max="9740" width="13.28515625" customWidth="1"/>
    <col min="9741" max="9741" width="11.140625" bestFit="1" customWidth="1"/>
    <col min="9742" max="9742" width="13" customWidth="1"/>
    <col min="9743" max="9744" width="0" hidden="1" customWidth="1"/>
    <col min="9746" max="9746" width="12.28515625" bestFit="1" customWidth="1"/>
    <col min="9985" max="9985" width="5" customWidth="1"/>
    <col min="9986" max="9986" width="40.42578125" customWidth="1"/>
    <col min="9987" max="9987" width="12.42578125" customWidth="1"/>
    <col min="9988" max="9988" width="9.85546875" bestFit="1" customWidth="1"/>
    <col min="9989" max="9989" width="9.28515625" bestFit="1" customWidth="1"/>
    <col min="9990" max="9990" width="12.85546875" customWidth="1"/>
    <col min="9991" max="9991" width="11.140625" bestFit="1" customWidth="1"/>
    <col min="9992" max="9992" width="12.140625" customWidth="1"/>
    <col min="9993" max="9993" width="11" bestFit="1" customWidth="1"/>
    <col min="9994" max="9994" width="12" customWidth="1"/>
    <col min="9995" max="9995" width="11.140625" bestFit="1" customWidth="1"/>
    <col min="9996" max="9996" width="13.28515625" customWidth="1"/>
    <col min="9997" max="9997" width="11.140625" bestFit="1" customWidth="1"/>
    <col min="9998" max="9998" width="13" customWidth="1"/>
    <col min="9999" max="10000" width="0" hidden="1" customWidth="1"/>
    <col min="10002" max="10002" width="12.28515625" bestFit="1" customWidth="1"/>
    <col min="10241" max="10241" width="5" customWidth="1"/>
    <col min="10242" max="10242" width="40.42578125" customWidth="1"/>
    <col min="10243" max="10243" width="12.42578125" customWidth="1"/>
    <col min="10244" max="10244" width="9.85546875" bestFit="1" customWidth="1"/>
    <col min="10245" max="10245" width="9.28515625" bestFit="1" customWidth="1"/>
    <col min="10246" max="10246" width="12.85546875" customWidth="1"/>
    <col min="10247" max="10247" width="11.140625" bestFit="1" customWidth="1"/>
    <col min="10248" max="10248" width="12.140625" customWidth="1"/>
    <col min="10249" max="10249" width="11" bestFit="1" customWidth="1"/>
    <col min="10250" max="10250" width="12" customWidth="1"/>
    <col min="10251" max="10251" width="11.140625" bestFit="1" customWidth="1"/>
    <col min="10252" max="10252" width="13.28515625" customWidth="1"/>
    <col min="10253" max="10253" width="11.140625" bestFit="1" customWidth="1"/>
    <col min="10254" max="10254" width="13" customWidth="1"/>
    <col min="10255" max="10256" width="0" hidden="1" customWidth="1"/>
    <col min="10258" max="10258" width="12.28515625" bestFit="1" customWidth="1"/>
    <col min="10497" max="10497" width="5" customWidth="1"/>
    <col min="10498" max="10498" width="40.42578125" customWidth="1"/>
    <col min="10499" max="10499" width="12.42578125" customWidth="1"/>
    <col min="10500" max="10500" width="9.85546875" bestFit="1" customWidth="1"/>
    <col min="10501" max="10501" width="9.28515625" bestFit="1" customWidth="1"/>
    <col min="10502" max="10502" width="12.85546875" customWidth="1"/>
    <col min="10503" max="10503" width="11.140625" bestFit="1" customWidth="1"/>
    <col min="10504" max="10504" width="12.140625" customWidth="1"/>
    <col min="10505" max="10505" width="11" bestFit="1" customWidth="1"/>
    <col min="10506" max="10506" width="12" customWidth="1"/>
    <col min="10507" max="10507" width="11.140625" bestFit="1" customWidth="1"/>
    <col min="10508" max="10508" width="13.28515625" customWidth="1"/>
    <col min="10509" max="10509" width="11.140625" bestFit="1" customWidth="1"/>
    <col min="10510" max="10510" width="13" customWidth="1"/>
    <col min="10511" max="10512" width="0" hidden="1" customWidth="1"/>
    <col min="10514" max="10514" width="12.28515625" bestFit="1" customWidth="1"/>
    <col min="10753" max="10753" width="5" customWidth="1"/>
    <col min="10754" max="10754" width="40.42578125" customWidth="1"/>
    <col min="10755" max="10755" width="12.42578125" customWidth="1"/>
    <col min="10756" max="10756" width="9.85546875" bestFit="1" customWidth="1"/>
    <col min="10757" max="10757" width="9.28515625" bestFit="1" customWidth="1"/>
    <col min="10758" max="10758" width="12.85546875" customWidth="1"/>
    <col min="10759" max="10759" width="11.140625" bestFit="1" customWidth="1"/>
    <col min="10760" max="10760" width="12.140625" customWidth="1"/>
    <col min="10761" max="10761" width="11" bestFit="1" customWidth="1"/>
    <col min="10762" max="10762" width="12" customWidth="1"/>
    <col min="10763" max="10763" width="11.140625" bestFit="1" customWidth="1"/>
    <col min="10764" max="10764" width="13.28515625" customWidth="1"/>
    <col min="10765" max="10765" width="11.140625" bestFit="1" customWidth="1"/>
    <col min="10766" max="10766" width="13" customWidth="1"/>
    <col min="10767" max="10768" width="0" hidden="1" customWidth="1"/>
    <col min="10770" max="10770" width="12.28515625" bestFit="1" customWidth="1"/>
    <col min="11009" max="11009" width="5" customWidth="1"/>
    <col min="11010" max="11010" width="40.42578125" customWidth="1"/>
    <col min="11011" max="11011" width="12.42578125" customWidth="1"/>
    <col min="11012" max="11012" width="9.85546875" bestFit="1" customWidth="1"/>
    <col min="11013" max="11013" width="9.28515625" bestFit="1" customWidth="1"/>
    <col min="11014" max="11014" width="12.85546875" customWidth="1"/>
    <col min="11015" max="11015" width="11.140625" bestFit="1" customWidth="1"/>
    <col min="11016" max="11016" width="12.140625" customWidth="1"/>
    <col min="11017" max="11017" width="11" bestFit="1" customWidth="1"/>
    <col min="11018" max="11018" width="12" customWidth="1"/>
    <col min="11019" max="11019" width="11.140625" bestFit="1" customWidth="1"/>
    <col min="11020" max="11020" width="13.28515625" customWidth="1"/>
    <col min="11021" max="11021" width="11.140625" bestFit="1" customWidth="1"/>
    <col min="11022" max="11022" width="13" customWidth="1"/>
    <col min="11023" max="11024" width="0" hidden="1" customWidth="1"/>
    <col min="11026" max="11026" width="12.28515625" bestFit="1" customWidth="1"/>
    <col min="11265" max="11265" width="5" customWidth="1"/>
    <col min="11266" max="11266" width="40.42578125" customWidth="1"/>
    <col min="11267" max="11267" width="12.42578125" customWidth="1"/>
    <col min="11268" max="11268" width="9.85546875" bestFit="1" customWidth="1"/>
    <col min="11269" max="11269" width="9.28515625" bestFit="1" customWidth="1"/>
    <col min="11270" max="11270" width="12.85546875" customWidth="1"/>
    <col min="11271" max="11271" width="11.140625" bestFit="1" customWidth="1"/>
    <col min="11272" max="11272" width="12.140625" customWidth="1"/>
    <col min="11273" max="11273" width="11" bestFit="1" customWidth="1"/>
    <col min="11274" max="11274" width="12" customWidth="1"/>
    <col min="11275" max="11275" width="11.140625" bestFit="1" customWidth="1"/>
    <col min="11276" max="11276" width="13.28515625" customWidth="1"/>
    <col min="11277" max="11277" width="11.140625" bestFit="1" customWidth="1"/>
    <col min="11278" max="11278" width="13" customWidth="1"/>
    <col min="11279" max="11280" width="0" hidden="1" customWidth="1"/>
    <col min="11282" max="11282" width="12.28515625" bestFit="1" customWidth="1"/>
    <col min="11521" max="11521" width="5" customWidth="1"/>
    <col min="11522" max="11522" width="40.42578125" customWidth="1"/>
    <col min="11523" max="11523" width="12.42578125" customWidth="1"/>
    <col min="11524" max="11524" width="9.85546875" bestFit="1" customWidth="1"/>
    <col min="11525" max="11525" width="9.28515625" bestFit="1" customWidth="1"/>
    <col min="11526" max="11526" width="12.85546875" customWidth="1"/>
    <col min="11527" max="11527" width="11.140625" bestFit="1" customWidth="1"/>
    <col min="11528" max="11528" width="12.140625" customWidth="1"/>
    <col min="11529" max="11529" width="11" bestFit="1" customWidth="1"/>
    <col min="11530" max="11530" width="12" customWidth="1"/>
    <col min="11531" max="11531" width="11.140625" bestFit="1" customWidth="1"/>
    <col min="11532" max="11532" width="13.28515625" customWidth="1"/>
    <col min="11533" max="11533" width="11.140625" bestFit="1" customWidth="1"/>
    <col min="11534" max="11534" width="13" customWidth="1"/>
    <col min="11535" max="11536" width="0" hidden="1" customWidth="1"/>
    <col min="11538" max="11538" width="12.28515625" bestFit="1" customWidth="1"/>
    <col min="11777" max="11777" width="5" customWidth="1"/>
    <col min="11778" max="11778" width="40.42578125" customWidth="1"/>
    <col min="11779" max="11779" width="12.42578125" customWidth="1"/>
    <col min="11780" max="11780" width="9.85546875" bestFit="1" customWidth="1"/>
    <col min="11781" max="11781" width="9.28515625" bestFit="1" customWidth="1"/>
    <col min="11782" max="11782" width="12.85546875" customWidth="1"/>
    <col min="11783" max="11783" width="11.140625" bestFit="1" customWidth="1"/>
    <col min="11784" max="11784" width="12.140625" customWidth="1"/>
    <col min="11785" max="11785" width="11" bestFit="1" customWidth="1"/>
    <col min="11786" max="11786" width="12" customWidth="1"/>
    <col min="11787" max="11787" width="11.140625" bestFit="1" customWidth="1"/>
    <col min="11788" max="11788" width="13.28515625" customWidth="1"/>
    <col min="11789" max="11789" width="11.140625" bestFit="1" customWidth="1"/>
    <col min="11790" max="11790" width="13" customWidth="1"/>
    <col min="11791" max="11792" width="0" hidden="1" customWidth="1"/>
    <col min="11794" max="11794" width="12.28515625" bestFit="1" customWidth="1"/>
    <col min="12033" max="12033" width="5" customWidth="1"/>
    <col min="12034" max="12034" width="40.42578125" customWidth="1"/>
    <col min="12035" max="12035" width="12.42578125" customWidth="1"/>
    <col min="12036" max="12036" width="9.85546875" bestFit="1" customWidth="1"/>
    <col min="12037" max="12037" width="9.28515625" bestFit="1" customWidth="1"/>
    <col min="12038" max="12038" width="12.85546875" customWidth="1"/>
    <col min="12039" max="12039" width="11.140625" bestFit="1" customWidth="1"/>
    <col min="12040" max="12040" width="12.140625" customWidth="1"/>
    <col min="12041" max="12041" width="11" bestFit="1" customWidth="1"/>
    <col min="12042" max="12042" width="12" customWidth="1"/>
    <col min="12043" max="12043" width="11.140625" bestFit="1" customWidth="1"/>
    <col min="12044" max="12044" width="13.28515625" customWidth="1"/>
    <col min="12045" max="12045" width="11.140625" bestFit="1" customWidth="1"/>
    <col min="12046" max="12046" width="13" customWidth="1"/>
    <col min="12047" max="12048" width="0" hidden="1" customWidth="1"/>
    <col min="12050" max="12050" width="12.28515625" bestFit="1" customWidth="1"/>
    <col min="12289" max="12289" width="5" customWidth="1"/>
    <col min="12290" max="12290" width="40.42578125" customWidth="1"/>
    <col min="12291" max="12291" width="12.42578125" customWidth="1"/>
    <col min="12292" max="12292" width="9.85546875" bestFit="1" customWidth="1"/>
    <col min="12293" max="12293" width="9.28515625" bestFit="1" customWidth="1"/>
    <col min="12294" max="12294" width="12.85546875" customWidth="1"/>
    <col min="12295" max="12295" width="11.140625" bestFit="1" customWidth="1"/>
    <col min="12296" max="12296" width="12.140625" customWidth="1"/>
    <col min="12297" max="12297" width="11" bestFit="1" customWidth="1"/>
    <col min="12298" max="12298" width="12" customWidth="1"/>
    <col min="12299" max="12299" width="11.140625" bestFit="1" customWidth="1"/>
    <col min="12300" max="12300" width="13.28515625" customWidth="1"/>
    <col min="12301" max="12301" width="11.140625" bestFit="1" customWidth="1"/>
    <col min="12302" max="12302" width="13" customWidth="1"/>
    <col min="12303" max="12304" width="0" hidden="1" customWidth="1"/>
    <col min="12306" max="12306" width="12.28515625" bestFit="1" customWidth="1"/>
    <col min="12545" max="12545" width="5" customWidth="1"/>
    <col min="12546" max="12546" width="40.42578125" customWidth="1"/>
    <col min="12547" max="12547" width="12.42578125" customWidth="1"/>
    <col min="12548" max="12548" width="9.85546875" bestFit="1" customWidth="1"/>
    <col min="12549" max="12549" width="9.28515625" bestFit="1" customWidth="1"/>
    <col min="12550" max="12550" width="12.85546875" customWidth="1"/>
    <col min="12551" max="12551" width="11.140625" bestFit="1" customWidth="1"/>
    <col min="12552" max="12552" width="12.140625" customWidth="1"/>
    <col min="12553" max="12553" width="11" bestFit="1" customWidth="1"/>
    <col min="12554" max="12554" width="12" customWidth="1"/>
    <col min="12555" max="12555" width="11.140625" bestFit="1" customWidth="1"/>
    <col min="12556" max="12556" width="13.28515625" customWidth="1"/>
    <col min="12557" max="12557" width="11.140625" bestFit="1" customWidth="1"/>
    <col min="12558" max="12558" width="13" customWidth="1"/>
    <col min="12559" max="12560" width="0" hidden="1" customWidth="1"/>
    <col min="12562" max="12562" width="12.28515625" bestFit="1" customWidth="1"/>
    <col min="12801" max="12801" width="5" customWidth="1"/>
    <col min="12802" max="12802" width="40.42578125" customWidth="1"/>
    <col min="12803" max="12803" width="12.42578125" customWidth="1"/>
    <col min="12804" max="12804" width="9.85546875" bestFit="1" customWidth="1"/>
    <col min="12805" max="12805" width="9.28515625" bestFit="1" customWidth="1"/>
    <col min="12806" max="12806" width="12.85546875" customWidth="1"/>
    <col min="12807" max="12807" width="11.140625" bestFit="1" customWidth="1"/>
    <col min="12808" max="12808" width="12.140625" customWidth="1"/>
    <col min="12809" max="12809" width="11" bestFit="1" customWidth="1"/>
    <col min="12810" max="12810" width="12" customWidth="1"/>
    <col min="12811" max="12811" width="11.140625" bestFit="1" customWidth="1"/>
    <col min="12812" max="12812" width="13.28515625" customWidth="1"/>
    <col min="12813" max="12813" width="11.140625" bestFit="1" customWidth="1"/>
    <col min="12814" max="12814" width="13" customWidth="1"/>
    <col min="12815" max="12816" width="0" hidden="1" customWidth="1"/>
    <col min="12818" max="12818" width="12.28515625" bestFit="1" customWidth="1"/>
    <col min="13057" max="13057" width="5" customWidth="1"/>
    <col min="13058" max="13058" width="40.42578125" customWidth="1"/>
    <col min="13059" max="13059" width="12.42578125" customWidth="1"/>
    <col min="13060" max="13060" width="9.85546875" bestFit="1" customWidth="1"/>
    <col min="13061" max="13061" width="9.28515625" bestFit="1" customWidth="1"/>
    <col min="13062" max="13062" width="12.85546875" customWidth="1"/>
    <col min="13063" max="13063" width="11.140625" bestFit="1" customWidth="1"/>
    <col min="13064" max="13064" width="12.140625" customWidth="1"/>
    <col min="13065" max="13065" width="11" bestFit="1" customWidth="1"/>
    <col min="13066" max="13066" width="12" customWidth="1"/>
    <col min="13067" max="13067" width="11.140625" bestFit="1" customWidth="1"/>
    <col min="13068" max="13068" width="13.28515625" customWidth="1"/>
    <col min="13069" max="13069" width="11.140625" bestFit="1" customWidth="1"/>
    <col min="13070" max="13070" width="13" customWidth="1"/>
    <col min="13071" max="13072" width="0" hidden="1" customWidth="1"/>
    <col min="13074" max="13074" width="12.28515625" bestFit="1" customWidth="1"/>
    <col min="13313" max="13313" width="5" customWidth="1"/>
    <col min="13314" max="13314" width="40.42578125" customWidth="1"/>
    <col min="13315" max="13315" width="12.42578125" customWidth="1"/>
    <col min="13316" max="13316" width="9.85546875" bestFit="1" customWidth="1"/>
    <col min="13317" max="13317" width="9.28515625" bestFit="1" customWidth="1"/>
    <col min="13318" max="13318" width="12.85546875" customWidth="1"/>
    <col min="13319" max="13319" width="11.140625" bestFit="1" customWidth="1"/>
    <col min="13320" max="13320" width="12.140625" customWidth="1"/>
    <col min="13321" max="13321" width="11" bestFit="1" customWidth="1"/>
    <col min="13322" max="13322" width="12" customWidth="1"/>
    <col min="13323" max="13323" width="11.140625" bestFit="1" customWidth="1"/>
    <col min="13324" max="13324" width="13.28515625" customWidth="1"/>
    <col min="13325" max="13325" width="11.140625" bestFit="1" customWidth="1"/>
    <col min="13326" max="13326" width="13" customWidth="1"/>
    <col min="13327" max="13328" width="0" hidden="1" customWidth="1"/>
    <col min="13330" max="13330" width="12.28515625" bestFit="1" customWidth="1"/>
    <col min="13569" max="13569" width="5" customWidth="1"/>
    <col min="13570" max="13570" width="40.42578125" customWidth="1"/>
    <col min="13571" max="13571" width="12.42578125" customWidth="1"/>
    <col min="13572" max="13572" width="9.85546875" bestFit="1" customWidth="1"/>
    <col min="13573" max="13573" width="9.28515625" bestFit="1" customWidth="1"/>
    <col min="13574" max="13574" width="12.85546875" customWidth="1"/>
    <col min="13575" max="13575" width="11.140625" bestFit="1" customWidth="1"/>
    <col min="13576" max="13576" width="12.140625" customWidth="1"/>
    <col min="13577" max="13577" width="11" bestFit="1" customWidth="1"/>
    <col min="13578" max="13578" width="12" customWidth="1"/>
    <col min="13579" max="13579" width="11.140625" bestFit="1" customWidth="1"/>
    <col min="13580" max="13580" width="13.28515625" customWidth="1"/>
    <col min="13581" max="13581" width="11.140625" bestFit="1" customWidth="1"/>
    <col min="13582" max="13582" width="13" customWidth="1"/>
    <col min="13583" max="13584" width="0" hidden="1" customWidth="1"/>
    <col min="13586" max="13586" width="12.28515625" bestFit="1" customWidth="1"/>
    <col min="13825" max="13825" width="5" customWidth="1"/>
    <col min="13826" max="13826" width="40.42578125" customWidth="1"/>
    <col min="13827" max="13827" width="12.42578125" customWidth="1"/>
    <col min="13828" max="13828" width="9.85546875" bestFit="1" customWidth="1"/>
    <col min="13829" max="13829" width="9.28515625" bestFit="1" customWidth="1"/>
    <col min="13830" max="13830" width="12.85546875" customWidth="1"/>
    <col min="13831" max="13831" width="11.140625" bestFit="1" customWidth="1"/>
    <col min="13832" max="13832" width="12.140625" customWidth="1"/>
    <col min="13833" max="13833" width="11" bestFit="1" customWidth="1"/>
    <col min="13834" max="13834" width="12" customWidth="1"/>
    <col min="13835" max="13835" width="11.140625" bestFit="1" customWidth="1"/>
    <col min="13836" max="13836" width="13.28515625" customWidth="1"/>
    <col min="13837" max="13837" width="11.140625" bestFit="1" customWidth="1"/>
    <col min="13838" max="13838" width="13" customWidth="1"/>
    <col min="13839" max="13840" width="0" hidden="1" customWidth="1"/>
    <col min="13842" max="13842" width="12.28515625" bestFit="1" customWidth="1"/>
    <col min="14081" max="14081" width="5" customWidth="1"/>
    <col min="14082" max="14082" width="40.42578125" customWidth="1"/>
    <col min="14083" max="14083" width="12.42578125" customWidth="1"/>
    <col min="14084" max="14084" width="9.85546875" bestFit="1" customWidth="1"/>
    <col min="14085" max="14085" width="9.28515625" bestFit="1" customWidth="1"/>
    <col min="14086" max="14086" width="12.85546875" customWidth="1"/>
    <col min="14087" max="14087" width="11.140625" bestFit="1" customWidth="1"/>
    <col min="14088" max="14088" width="12.140625" customWidth="1"/>
    <col min="14089" max="14089" width="11" bestFit="1" customWidth="1"/>
    <col min="14090" max="14090" width="12" customWidth="1"/>
    <col min="14091" max="14091" width="11.140625" bestFit="1" customWidth="1"/>
    <col min="14092" max="14092" width="13.28515625" customWidth="1"/>
    <col min="14093" max="14093" width="11.140625" bestFit="1" customWidth="1"/>
    <col min="14094" max="14094" width="13" customWidth="1"/>
    <col min="14095" max="14096" width="0" hidden="1" customWidth="1"/>
    <col min="14098" max="14098" width="12.28515625" bestFit="1" customWidth="1"/>
    <col min="14337" max="14337" width="5" customWidth="1"/>
    <col min="14338" max="14338" width="40.42578125" customWidth="1"/>
    <col min="14339" max="14339" width="12.42578125" customWidth="1"/>
    <col min="14340" max="14340" width="9.85546875" bestFit="1" customWidth="1"/>
    <col min="14341" max="14341" width="9.28515625" bestFit="1" customWidth="1"/>
    <col min="14342" max="14342" width="12.85546875" customWidth="1"/>
    <col min="14343" max="14343" width="11.140625" bestFit="1" customWidth="1"/>
    <col min="14344" max="14344" width="12.140625" customWidth="1"/>
    <col min="14345" max="14345" width="11" bestFit="1" customWidth="1"/>
    <col min="14346" max="14346" width="12" customWidth="1"/>
    <col min="14347" max="14347" width="11.140625" bestFit="1" customWidth="1"/>
    <col min="14348" max="14348" width="13.28515625" customWidth="1"/>
    <col min="14349" max="14349" width="11.140625" bestFit="1" customWidth="1"/>
    <col min="14350" max="14350" width="13" customWidth="1"/>
    <col min="14351" max="14352" width="0" hidden="1" customWidth="1"/>
    <col min="14354" max="14354" width="12.28515625" bestFit="1" customWidth="1"/>
    <col min="14593" max="14593" width="5" customWidth="1"/>
    <col min="14594" max="14594" width="40.42578125" customWidth="1"/>
    <col min="14595" max="14595" width="12.42578125" customWidth="1"/>
    <col min="14596" max="14596" width="9.85546875" bestFit="1" customWidth="1"/>
    <col min="14597" max="14597" width="9.28515625" bestFit="1" customWidth="1"/>
    <col min="14598" max="14598" width="12.85546875" customWidth="1"/>
    <col min="14599" max="14599" width="11.140625" bestFit="1" customWidth="1"/>
    <col min="14600" max="14600" width="12.140625" customWidth="1"/>
    <col min="14601" max="14601" width="11" bestFit="1" customWidth="1"/>
    <col min="14602" max="14602" width="12" customWidth="1"/>
    <col min="14603" max="14603" width="11.140625" bestFit="1" customWidth="1"/>
    <col min="14604" max="14604" width="13.28515625" customWidth="1"/>
    <col min="14605" max="14605" width="11.140625" bestFit="1" customWidth="1"/>
    <col min="14606" max="14606" width="13" customWidth="1"/>
    <col min="14607" max="14608" width="0" hidden="1" customWidth="1"/>
    <col min="14610" max="14610" width="12.28515625" bestFit="1" customWidth="1"/>
    <col min="14849" max="14849" width="5" customWidth="1"/>
    <col min="14850" max="14850" width="40.42578125" customWidth="1"/>
    <col min="14851" max="14851" width="12.42578125" customWidth="1"/>
    <col min="14852" max="14852" width="9.85546875" bestFit="1" customWidth="1"/>
    <col min="14853" max="14853" width="9.28515625" bestFit="1" customWidth="1"/>
    <col min="14854" max="14854" width="12.85546875" customWidth="1"/>
    <col min="14855" max="14855" width="11.140625" bestFit="1" customWidth="1"/>
    <col min="14856" max="14856" width="12.140625" customWidth="1"/>
    <col min="14857" max="14857" width="11" bestFit="1" customWidth="1"/>
    <col min="14858" max="14858" width="12" customWidth="1"/>
    <col min="14859" max="14859" width="11.140625" bestFit="1" customWidth="1"/>
    <col min="14860" max="14860" width="13.28515625" customWidth="1"/>
    <col min="14861" max="14861" width="11.140625" bestFit="1" customWidth="1"/>
    <col min="14862" max="14862" width="13" customWidth="1"/>
    <col min="14863" max="14864" width="0" hidden="1" customWidth="1"/>
    <col min="14866" max="14866" width="12.28515625" bestFit="1" customWidth="1"/>
    <col min="15105" max="15105" width="5" customWidth="1"/>
    <col min="15106" max="15106" width="40.42578125" customWidth="1"/>
    <col min="15107" max="15107" width="12.42578125" customWidth="1"/>
    <col min="15108" max="15108" width="9.85546875" bestFit="1" customWidth="1"/>
    <col min="15109" max="15109" width="9.28515625" bestFit="1" customWidth="1"/>
    <col min="15110" max="15110" width="12.85546875" customWidth="1"/>
    <col min="15111" max="15111" width="11.140625" bestFit="1" customWidth="1"/>
    <col min="15112" max="15112" width="12.140625" customWidth="1"/>
    <col min="15113" max="15113" width="11" bestFit="1" customWidth="1"/>
    <col min="15114" max="15114" width="12" customWidth="1"/>
    <col min="15115" max="15115" width="11.140625" bestFit="1" customWidth="1"/>
    <col min="15116" max="15116" width="13.28515625" customWidth="1"/>
    <col min="15117" max="15117" width="11.140625" bestFit="1" customWidth="1"/>
    <col min="15118" max="15118" width="13" customWidth="1"/>
    <col min="15119" max="15120" width="0" hidden="1" customWidth="1"/>
    <col min="15122" max="15122" width="12.28515625" bestFit="1" customWidth="1"/>
    <col min="15361" max="15361" width="5" customWidth="1"/>
    <col min="15362" max="15362" width="40.42578125" customWidth="1"/>
    <col min="15363" max="15363" width="12.42578125" customWidth="1"/>
    <col min="15364" max="15364" width="9.85546875" bestFit="1" customWidth="1"/>
    <col min="15365" max="15365" width="9.28515625" bestFit="1" customWidth="1"/>
    <col min="15366" max="15366" width="12.85546875" customWidth="1"/>
    <col min="15367" max="15367" width="11.140625" bestFit="1" customWidth="1"/>
    <col min="15368" max="15368" width="12.140625" customWidth="1"/>
    <col min="15369" max="15369" width="11" bestFit="1" customWidth="1"/>
    <col min="15370" max="15370" width="12" customWidth="1"/>
    <col min="15371" max="15371" width="11.140625" bestFit="1" customWidth="1"/>
    <col min="15372" max="15372" width="13.28515625" customWidth="1"/>
    <col min="15373" max="15373" width="11.140625" bestFit="1" customWidth="1"/>
    <col min="15374" max="15374" width="13" customWidth="1"/>
    <col min="15375" max="15376" width="0" hidden="1" customWidth="1"/>
    <col min="15378" max="15378" width="12.28515625" bestFit="1" customWidth="1"/>
    <col min="15617" max="15617" width="5" customWidth="1"/>
    <col min="15618" max="15618" width="40.42578125" customWidth="1"/>
    <col min="15619" max="15619" width="12.42578125" customWidth="1"/>
    <col min="15620" max="15620" width="9.85546875" bestFit="1" customWidth="1"/>
    <col min="15621" max="15621" width="9.28515625" bestFit="1" customWidth="1"/>
    <col min="15622" max="15622" width="12.85546875" customWidth="1"/>
    <col min="15623" max="15623" width="11.140625" bestFit="1" customWidth="1"/>
    <col min="15624" max="15624" width="12.140625" customWidth="1"/>
    <col min="15625" max="15625" width="11" bestFit="1" customWidth="1"/>
    <col min="15626" max="15626" width="12" customWidth="1"/>
    <col min="15627" max="15627" width="11.140625" bestFit="1" customWidth="1"/>
    <col min="15628" max="15628" width="13.28515625" customWidth="1"/>
    <col min="15629" max="15629" width="11.140625" bestFit="1" customWidth="1"/>
    <col min="15630" max="15630" width="13" customWidth="1"/>
    <col min="15631" max="15632" width="0" hidden="1" customWidth="1"/>
    <col min="15634" max="15634" width="12.28515625" bestFit="1" customWidth="1"/>
    <col min="15873" max="15873" width="5" customWidth="1"/>
    <col min="15874" max="15874" width="40.42578125" customWidth="1"/>
    <col min="15875" max="15875" width="12.42578125" customWidth="1"/>
    <col min="15876" max="15876" width="9.85546875" bestFit="1" customWidth="1"/>
    <col min="15877" max="15877" width="9.28515625" bestFit="1" customWidth="1"/>
    <col min="15878" max="15878" width="12.85546875" customWidth="1"/>
    <col min="15879" max="15879" width="11.140625" bestFit="1" customWidth="1"/>
    <col min="15880" max="15880" width="12.140625" customWidth="1"/>
    <col min="15881" max="15881" width="11" bestFit="1" customWidth="1"/>
    <col min="15882" max="15882" width="12" customWidth="1"/>
    <col min="15883" max="15883" width="11.140625" bestFit="1" customWidth="1"/>
    <col min="15884" max="15884" width="13.28515625" customWidth="1"/>
    <col min="15885" max="15885" width="11.140625" bestFit="1" customWidth="1"/>
    <col min="15886" max="15886" width="13" customWidth="1"/>
    <col min="15887" max="15888" width="0" hidden="1" customWidth="1"/>
    <col min="15890" max="15890" width="12.28515625" bestFit="1" customWidth="1"/>
    <col min="16129" max="16129" width="5" customWidth="1"/>
    <col min="16130" max="16130" width="40.42578125" customWidth="1"/>
    <col min="16131" max="16131" width="12.42578125" customWidth="1"/>
    <col min="16132" max="16132" width="9.85546875" bestFit="1" customWidth="1"/>
    <col min="16133" max="16133" width="9.28515625" bestFit="1" customWidth="1"/>
    <col min="16134" max="16134" width="12.85546875" customWidth="1"/>
    <col min="16135" max="16135" width="11.140625" bestFit="1" customWidth="1"/>
    <col min="16136" max="16136" width="12.140625" customWidth="1"/>
    <col min="16137" max="16137" width="11" bestFit="1" customWidth="1"/>
    <col min="16138" max="16138" width="12" customWidth="1"/>
    <col min="16139" max="16139" width="11.140625" bestFit="1" customWidth="1"/>
    <col min="16140" max="16140" width="13.28515625" customWidth="1"/>
    <col min="16141" max="16141" width="11.140625" bestFit="1" customWidth="1"/>
    <col min="16142" max="16142" width="13" customWidth="1"/>
    <col min="16143" max="16144" width="0" hidden="1" customWidth="1"/>
    <col min="16146" max="16146" width="12.28515625" bestFit="1" customWidth="1"/>
  </cols>
  <sheetData>
    <row r="3" spans="1:19" ht="4.5" customHeight="1"/>
    <row r="4" spans="1:19" ht="24.75" customHeight="1">
      <c r="A4" s="15"/>
      <c r="B4" s="174"/>
      <c r="C4" s="176" t="s">
        <v>311</v>
      </c>
      <c r="D4" s="176"/>
      <c r="E4" s="176"/>
      <c r="F4" s="176"/>
      <c r="G4" s="115"/>
      <c r="H4" s="115"/>
      <c r="I4" s="115"/>
      <c r="J4" s="115"/>
      <c r="K4" s="116"/>
      <c r="L4" s="16"/>
      <c r="M4" s="16"/>
      <c r="N4" s="16"/>
      <c r="O4" s="16"/>
      <c r="P4" s="16"/>
      <c r="Q4" s="16"/>
      <c r="R4" s="17"/>
    </row>
    <row r="5" spans="1:19" ht="18.75" customHeight="1">
      <c r="A5" s="18"/>
      <c r="B5" s="175"/>
      <c r="C5" s="177" t="s">
        <v>796</v>
      </c>
      <c r="D5" s="177"/>
      <c r="E5" s="177"/>
      <c r="F5" s="177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19">
      <c r="A6" s="135"/>
      <c r="B6" s="169" t="s">
        <v>313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70"/>
      <c r="S6" s="93"/>
    </row>
    <row r="7" spans="1:19">
      <c r="A7" s="22"/>
      <c r="B7" s="23"/>
      <c r="C7" s="23"/>
      <c r="D7" s="23"/>
      <c r="E7" s="171" t="s">
        <v>292</v>
      </c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3"/>
    </row>
    <row r="8" spans="1:19">
      <c r="A8" s="24"/>
      <c r="B8" s="166" t="s">
        <v>293</v>
      </c>
      <c r="C8" s="167" t="s">
        <v>294</v>
      </c>
      <c r="D8" s="167"/>
      <c r="E8" s="168" t="s">
        <v>295</v>
      </c>
      <c r="F8" s="168"/>
      <c r="G8" s="168" t="s">
        <v>296</v>
      </c>
      <c r="H8" s="168"/>
      <c r="I8" s="168" t="s">
        <v>297</v>
      </c>
      <c r="J8" s="168"/>
      <c r="K8" s="168" t="s">
        <v>298</v>
      </c>
      <c r="L8" s="168"/>
      <c r="M8" s="168" t="s">
        <v>299</v>
      </c>
      <c r="N8" s="168"/>
      <c r="O8" s="168" t="s">
        <v>300</v>
      </c>
      <c r="P8" s="168"/>
      <c r="Q8" s="168" t="s">
        <v>795</v>
      </c>
      <c r="R8" s="168"/>
    </row>
    <row r="9" spans="1:19">
      <c r="A9" s="25"/>
      <c r="B9" s="166"/>
      <c r="C9" s="26" t="s">
        <v>301</v>
      </c>
      <c r="D9" s="26" t="s">
        <v>302</v>
      </c>
      <c r="E9" s="27" t="s">
        <v>303</v>
      </c>
      <c r="F9" s="28" t="s">
        <v>304</v>
      </c>
      <c r="G9" s="26" t="s">
        <v>303</v>
      </c>
      <c r="H9" s="28" t="s">
        <v>304</v>
      </c>
      <c r="I9" s="29" t="s">
        <v>303</v>
      </c>
      <c r="J9" s="28" t="s">
        <v>304</v>
      </c>
      <c r="K9" s="29" t="s">
        <v>303</v>
      </c>
      <c r="L9" s="28" t="s">
        <v>304</v>
      </c>
      <c r="M9" s="26" t="s">
        <v>303</v>
      </c>
      <c r="N9" s="28" t="s">
        <v>304</v>
      </c>
      <c r="O9" s="28" t="s">
        <v>303</v>
      </c>
      <c r="P9" s="28" t="s">
        <v>304</v>
      </c>
      <c r="Q9" s="28" t="s">
        <v>303</v>
      </c>
      <c r="R9" s="28" t="s">
        <v>304</v>
      </c>
    </row>
    <row r="10" spans="1:19">
      <c r="A10" s="127">
        <v>1</v>
      </c>
      <c r="B10" s="128" t="str">
        <f>VLOOKUP(A10,ORÇAMENTO!C8:L280,4)</f>
        <v>PRELIMINARES E FUNDAÇÃO</v>
      </c>
      <c r="C10" s="128">
        <f>VLOOKUP(A10,ORÇAMENTO!C8:L280,10)</f>
        <v>28238.483000000004</v>
      </c>
      <c r="D10" s="30">
        <f>C10/$C$29</f>
        <v>8.6066696076765217E-2</v>
      </c>
      <c r="E10" s="124">
        <v>1</v>
      </c>
      <c r="F10" s="31">
        <f>C10*E10</f>
        <v>28238.483000000004</v>
      </c>
      <c r="G10" s="125"/>
      <c r="H10" s="31">
        <f>G10*C10</f>
        <v>0</v>
      </c>
      <c r="I10" s="125"/>
      <c r="J10" s="31">
        <f>I10*C10</f>
        <v>0</v>
      </c>
      <c r="K10" s="125"/>
      <c r="L10" s="31">
        <f>K10*C10</f>
        <v>0</v>
      </c>
      <c r="M10" s="32"/>
      <c r="N10" s="36">
        <f t="shared" ref="N10:N15" si="0">M10*C10</f>
        <v>0</v>
      </c>
      <c r="O10" s="32"/>
      <c r="P10" s="31"/>
      <c r="Q10" s="33">
        <f>M10+K10+I10+G10+E10</f>
        <v>1</v>
      </c>
      <c r="R10" s="31">
        <f>N10+L10+J10+H10+F10</f>
        <v>28238.483000000004</v>
      </c>
    </row>
    <row r="11" spans="1:19">
      <c r="A11" s="129">
        <v>2</v>
      </c>
      <c r="B11" s="130" t="str">
        <f>VLOOKUP(A11,ORÇAMENTO!C9:L281,4)</f>
        <v>SUPRAESTRUTURA</v>
      </c>
      <c r="C11" s="130">
        <f>VLOOKUP(A11,ORÇAMENTO!C9:L281,10)</f>
        <v>48196.784999999996</v>
      </c>
      <c r="D11" s="34">
        <f t="shared" ref="D11:D23" si="1">C11/$C$29</f>
        <v>0.14689663203480852</v>
      </c>
      <c r="E11" s="124">
        <v>0.7</v>
      </c>
      <c r="F11" s="31">
        <f t="shared" ref="F11:F23" si="2">C11*E11</f>
        <v>33737.749499999998</v>
      </c>
      <c r="G11" s="126">
        <v>0.3</v>
      </c>
      <c r="H11" s="31">
        <f t="shared" ref="H11:H23" si="3">G11*C11</f>
        <v>14459.035499999998</v>
      </c>
      <c r="I11" s="126"/>
      <c r="J11" s="31">
        <f t="shared" ref="J11:J23" si="4">I11*C11</f>
        <v>0</v>
      </c>
      <c r="K11" s="126"/>
      <c r="L11" s="31">
        <f t="shared" ref="L11:L23" si="5">K11*C11</f>
        <v>0</v>
      </c>
      <c r="M11" s="39"/>
      <c r="N11" s="36">
        <f t="shared" si="0"/>
        <v>0</v>
      </c>
      <c r="O11" s="39"/>
      <c r="P11" s="36"/>
      <c r="Q11" s="33">
        <f t="shared" ref="Q11:Q23" si="6">M11+K11+I11+G11+E11</f>
        <v>1</v>
      </c>
      <c r="R11" s="31">
        <f t="shared" ref="R11:R23" si="7">N11+L11+J11+H11+F11</f>
        <v>48196.784999999996</v>
      </c>
    </row>
    <row r="12" spans="1:19">
      <c r="A12" s="129">
        <v>3</v>
      </c>
      <c r="B12" s="130" t="str">
        <f>VLOOKUP(A12,ORÇAMENTO!C10:L282,4)</f>
        <v>COBERTURA</v>
      </c>
      <c r="C12" s="130">
        <f>VLOOKUP(A12,ORÇAMENTO!C10:L282,10)</f>
        <v>40310.400000000001</v>
      </c>
      <c r="D12" s="34">
        <f t="shared" si="1"/>
        <v>0.12286010355205117</v>
      </c>
      <c r="E12" s="124"/>
      <c r="F12" s="31">
        <f t="shared" si="2"/>
        <v>0</v>
      </c>
      <c r="G12" s="126"/>
      <c r="H12" s="31">
        <f t="shared" si="3"/>
        <v>0</v>
      </c>
      <c r="I12" s="126">
        <v>0.8</v>
      </c>
      <c r="J12" s="31">
        <f t="shared" si="4"/>
        <v>32248.320000000003</v>
      </c>
      <c r="K12" s="126">
        <v>0.2</v>
      </c>
      <c r="L12" s="31">
        <f t="shared" si="5"/>
        <v>8062.0800000000008</v>
      </c>
      <c r="M12" s="39"/>
      <c r="N12" s="36">
        <f t="shared" si="0"/>
        <v>0</v>
      </c>
      <c r="O12" s="39"/>
      <c r="P12" s="36"/>
      <c r="Q12" s="33">
        <f t="shared" si="6"/>
        <v>1</v>
      </c>
      <c r="R12" s="31">
        <f t="shared" si="7"/>
        <v>40310.400000000001</v>
      </c>
    </row>
    <row r="13" spans="1:19">
      <c r="A13" s="129">
        <v>4</v>
      </c>
      <c r="B13" s="130" t="str">
        <f>VLOOKUP(A13,ORÇAMENTO!C11:L283,4)</f>
        <v>ALVENARIA E PAREDES DE GESSO ACARTONADO</v>
      </c>
      <c r="C13" s="130">
        <f>VLOOKUP(A13,ORÇAMENTO!C11:L283,10)</f>
        <v>33280</v>
      </c>
      <c r="D13" s="34">
        <f t="shared" si="1"/>
        <v>0.10143249003265317</v>
      </c>
      <c r="E13" s="124"/>
      <c r="F13" s="31">
        <f t="shared" si="2"/>
        <v>0</v>
      </c>
      <c r="G13" s="126">
        <v>1</v>
      </c>
      <c r="H13" s="31">
        <f t="shared" si="3"/>
        <v>33280</v>
      </c>
      <c r="I13" s="126"/>
      <c r="J13" s="31">
        <f t="shared" si="4"/>
        <v>0</v>
      </c>
      <c r="K13" s="126"/>
      <c r="L13" s="31">
        <f t="shared" si="5"/>
        <v>0</v>
      </c>
      <c r="M13" s="39"/>
      <c r="N13" s="36">
        <f t="shared" si="0"/>
        <v>0</v>
      </c>
      <c r="O13" s="39"/>
      <c r="P13" s="36"/>
      <c r="Q13" s="33">
        <f t="shared" si="6"/>
        <v>1</v>
      </c>
      <c r="R13" s="31">
        <f t="shared" si="7"/>
        <v>33280</v>
      </c>
    </row>
    <row r="14" spans="1:19">
      <c r="A14" s="129">
        <v>5</v>
      </c>
      <c r="B14" s="130" t="str">
        <f>VLOOKUP(A14,ORÇAMENTO!C12:L284,4)</f>
        <v>CONTRAPISO E PISO</v>
      </c>
      <c r="C14" s="130">
        <f>VLOOKUP(A14,ORÇAMENTO!C12:L284,10)</f>
        <v>43460.131000000001</v>
      </c>
      <c r="D14" s="34">
        <f t="shared" si="1"/>
        <v>0.13246001515851266</v>
      </c>
      <c r="E14" s="124"/>
      <c r="F14" s="31">
        <f t="shared" si="2"/>
        <v>0</v>
      </c>
      <c r="G14" s="126"/>
      <c r="H14" s="31">
        <f t="shared" si="3"/>
        <v>0</v>
      </c>
      <c r="I14" s="126">
        <v>0.5</v>
      </c>
      <c r="J14" s="31">
        <f t="shared" si="4"/>
        <v>21730.065500000001</v>
      </c>
      <c r="K14" s="126">
        <v>0.5</v>
      </c>
      <c r="L14" s="31">
        <f t="shared" si="5"/>
        <v>21730.065500000001</v>
      </c>
      <c r="M14" s="39"/>
      <c r="N14" s="36">
        <f t="shared" si="0"/>
        <v>0</v>
      </c>
      <c r="O14" s="39"/>
      <c r="P14" s="36"/>
      <c r="Q14" s="33">
        <f t="shared" si="6"/>
        <v>1</v>
      </c>
      <c r="R14" s="31">
        <f t="shared" si="7"/>
        <v>43460.131000000001</v>
      </c>
    </row>
    <row r="15" spans="1:19">
      <c r="A15" s="129">
        <v>6</v>
      </c>
      <c r="B15" s="130" t="str">
        <f>VLOOKUP(A15,ORÇAMENTO!C13:L285,4)</f>
        <v>REVESTIMENTO DE PAREDE E LAJE</v>
      </c>
      <c r="C15" s="130">
        <f>VLOOKUP(A15,ORÇAMENTO!C13:L285,10)</f>
        <v>4907.1100000000006</v>
      </c>
      <c r="D15" s="34">
        <f t="shared" si="1"/>
        <v>1.4956141411181874E-2</v>
      </c>
      <c r="E15" s="124"/>
      <c r="F15" s="31">
        <f t="shared" si="2"/>
        <v>0</v>
      </c>
      <c r="G15" s="126"/>
      <c r="H15" s="31">
        <f t="shared" si="3"/>
        <v>0</v>
      </c>
      <c r="I15" s="126">
        <v>1</v>
      </c>
      <c r="J15" s="31">
        <f t="shared" si="4"/>
        <v>4907.1100000000006</v>
      </c>
      <c r="K15" s="126"/>
      <c r="L15" s="31">
        <f t="shared" si="5"/>
        <v>0</v>
      </c>
      <c r="M15" s="39"/>
      <c r="N15" s="36">
        <f t="shared" si="0"/>
        <v>0</v>
      </c>
      <c r="O15" s="39"/>
      <c r="P15" s="36"/>
      <c r="Q15" s="33">
        <f t="shared" si="6"/>
        <v>1</v>
      </c>
      <c r="R15" s="31">
        <f t="shared" si="7"/>
        <v>4907.1100000000006</v>
      </c>
    </row>
    <row r="16" spans="1:19">
      <c r="A16" s="129">
        <v>7</v>
      </c>
      <c r="B16" s="130" t="str">
        <f>VLOOKUP(A16,ORÇAMENTO!C14:L286,4)</f>
        <v>CALÇADA EXTERNA</v>
      </c>
      <c r="C16" s="130">
        <f>VLOOKUP(A16,ORÇAMENTO!C14:L286,10)</f>
        <v>6825</v>
      </c>
      <c r="D16" s="34">
        <f t="shared" si="1"/>
        <v>2.0801584869977702E-2</v>
      </c>
      <c r="E16" s="124"/>
      <c r="F16" s="31">
        <f t="shared" si="2"/>
        <v>0</v>
      </c>
      <c r="G16" s="126"/>
      <c r="H16" s="31">
        <f t="shared" si="3"/>
        <v>0</v>
      </c>
      <c r="I16" s="126"/>
      <c r="J16" s="31">
        <f t="shared" si="4"/>
        <v>0</v>
      </c>
      <c r="K16" s="126"/>
      <c r="L16" s="31">
        <f t="shared" si="5"/>
        <v>0</v>
      </c>
      <c r="M16" s="39">
        <v>1</v>
      </c>
      <c r="N16" s="36">
        <f>M16*C16</f>
        <v>6825</v>
      </c>
      <c r="O16" s="39"/>
      <c r="P16" s="36"/>
      <c r="Q16" s="33">
        <f t="shared" si="6"/>
        <v>1</v>
      </c>
      <c r="R16" s="31">
        <f t="shared" si="7"/>
        <v>6825</v>
      </c>
    </row>
    <row r="17" spans="1:18">
      <c r="A17" s="129">
        <v>8</v>
      </c>
      <c r="B17" s="130" t="str">
        <f>VLOOKUP(A17,ORÇAMENTO!C15:L287,4)</f>
        <v>FORRO</v>
      </c>
      <c r="C17" s="130">
        <f>VLOOKUP(A17,ORÇAMENTO!C15:L287,10)</f>
        <v>20756.45</v>
      </c>
      <c r="D17" s="34">
        <f t="shared" si="1"/>
        <v>6.3262572347904569E-2</v>
      </c>
      <c r="E17" s="124"/>
      <c r="F17" s="31">
        <f t="shared" si="2"/>
        <v>0</v>
      </c>
      <c r="G17" s="126"/>
      <c r="H17" s="31">
        <f t="shared" si="3"/>
        <v>0</v>
      </c>
      <c r="I17" s="126"/>
      <c r="J17" s="31">
        <f t="shared" si="4"/>
        <v>0</v>
      </c>
      <c r="K17" s="126">
        <v>0.3</v>
      </c>
      <c r="L17" s="31">
        <f t="shared" si="5"/>
        <v>6226.9350000000004</v>
      </c>
      <c r="M17" s="39">
        <v>0.7</v>
      </c>
      <c r="N17" s="36">
        <f t="shared" ref="N17:N23" si="8">M17*C17</f>
        <v>14529.514999999999</v>
      </c>
      <c r="O17" s="39"/>
      <c r="P17" s="36"/>
      <c r="Q17" s="33">
        <f t="shared" si="6"/>
        <v>1</v>
      </c>
      <c r="R17" s="31">
        <f t="shared" si="7"/>
        <v>20756.45</v>
      </c>
    </row>
    <row r="18" spans="1:18">
      <c r="A18" s="129">
        <v>9</v>
      </c>
      <c r="B18" s="130" t="str">
        <f>VLOOKUP(A18,ORÇAMENTO!C16:L288,4)</f>
        <v>CORRIMÃO, ESQUADRIAS, PORTAS e VIDROS</v>
      </c>
      <c r="C18" s="130">
        <f>VLOOKUP(A18,ORÇAMENTO!C16:L288,10)</f>
        <v>29291.5272</v>
      </c>
      <c r="D18" s="34">
        <f t="shared" si="1"/>
        <v>8.9276218171730454E-2</v>
      </c>
      <c r="E18" s="124"/>
      <c r="F18" s="31">
        <f t="shared" si="2"/>
        <v>0</v>
      </c>
      <c r="G18" s="126"/>
      <c r="H18" s="31">
        <f t="shared" si="3"/>
        <v>0</v>
      </c>
      <c r="I18" s="126"/>
      <c r="J18" s="31">
        <f t="shared" si="4"/>
        <v>0</v>
      </c>
      <c r="K18" s="126">
        <v>0.5</v>
      </c>
      <c r="L18" s="31">
        <f t="shared" si="5"/>
        <v>14645.7636</v>
      </c>
      <c r="M18" s="39">
        <v>0.5</v>
      </c>
      <c r="N18" s="36">
        <f t="shared" si="8"/>
        <v>14645.7636</v>
      </c>
      <c r="O18" s="39"/>
      <c r="P18" s="36"/>
      <c r="Q18" s="33">
        <f t="shared" si="6"/>
        <v>1</v>
      </c>
      <c r="R18" s="31">
        <f t="shared" si="7"/>
        <v>29291.5272</v>
      </c>
    </row>
    <row r="19" spans="1:18">
      <c r="A19" s="129">
        <v>10</v>
      </c>
      <c r="B19" s="130" t="str">
        <f>VLOOKUP(A19,ORÇAMENTO!C17:L289,4)</f>
        <v xml:space="preserve">ESGOTO </v>
      </c>
      <c r="C19" s="130">
        <f>VLOOKUP(A19,ORÇAMENTO!C17:L289,10)</f>
        <v>3110.9</v>
      </c>
      <c r="D19" s="34">
        <f t="shared" si="1"/>
        <v>9.4815604940679324E-3</v>
      </c>
      <c r="E19" s="124"/>
      <c r="F19" s="31">
        <f t="shared" si="2"/>
        <v>0</v>
      </c>
      <c r="G19" s="126">
        <v>1</v>
      </c>
      <c r="H19" s="31">
        <f t="shared" si="3"/>
        <v>3110.9</v>
      </c>
      <c r="I19" s="126"/>
      <c r="J19" s="31">
        <f t="shared" si="4"/>
        <v>0</v>
      </c>
      <c r="K19" s="126"/>
      <c r="L19" s="31">
        <f t="shared" si="5"/>
        <v>0</v>
      </c>
      <c r="M19" s="39"/>
      <c r="N19" s="36">
        <f t="shared" si="8"/>
        <v>0</v>
      </c>
      <c r="O19" s="39"/>
      <c r="P19" s="36"/>
      <c r="Q19" s="33">
        <f t="shared" si="6"/>
        <v>1</v>
      </c>
      <c r="R19" s="31">
        <f t="shared" si="7"/>
        <v>3110.9</v>
      </c>
    </row>
    <row r="20" spans="1:18">
      <c r="A20" s="129">
        <v>11</v>
      </c>
      <c r="B20" s="130" t="str">
        <f>VLOOKUP(A20,ORÇAMENTO!C18:L290,4)</f>
        <v>ÁGUA FRIA E PEÇAS SANITÁRIAS</v>
      </c>
      <c r="C20" s="130">
        <f>VLOOKUP(A20,ORÇAMENTO!C18:L290,10)</f>
        <v>5356.1299999999992</v>
      </c>
      <c r="D20" s="34">
        <f t="shared" si="1"/>
        <v>1.6324687585294307E-2</v>
      </c>
      <c r="E20" s="124"/>
      <c r="F20" s="31">
        <f t="shared" si="2"/>
        <v>0</v>
      </c>
      <c r="G20" s="126"/>
      <c r="H20" s="31">
        <f t="shared" si="3"/>
        <v>0</v>
      </c>
      <c r="I20" s="126">
        <v>0.5</v>
      </c>
      <c r="J20" s="31">
        <f t="shared" si="4"/>
        <v>2678.0649999999996</v>
      </c>
      <c r="K20" s="126">
        <v>0.5</v>
      </c>
      <c r="L20" s="31">
        <f t="shared" si="5"/>
        <v>2678.0649999999996</v>
      </c>
      <c r="M20" s="39"/>
      <c r="N20" s="36">
        <f t="shared" si="8"/>
        <v>0</v>
      </c>
      <c r="O20" s="39"/>
      <c r="P20" s="36"/>
      <c r="Q20" s="33">
        <f t="shared" si="6"/>
        <v>1</v>
      </c>
      <c r="R20" s="31">
        <f t="shared" si="7"/>
        <v>5356.1299999999992</v>
      </c>
    </row>
    <row r="21" spans="1:18">
      <c r="A21" s="129">
        <v>12</v>
      </c>
      <c r="B21" s="130" t="str">
        <f>VLOOKUP(A21,ORÇAMENTO!C19:L291,4)</f>
        <v>ELÉTRICA, LÓGICA e TELEFONE</v>
      </c>
      <c r="C21" s="130">
        <f>VLOOKUP(A21,ORÇAMENTO!C19:L291,10)</f>
        <v>22338.913999999997</v>
      </c>
      <c r="D21" s="34">
        <f t="shared" si="1"/>
        <v>6.8085687248957222E-2</v>
      </c>
      <c r="E21" s="124"/>
      <c r="F21" s="31">
        <f t="shared" si="2"/>
        <v>0</v>
      </c>
      <c r="G21" s="126">
        <v>0.5</v>
      </c>
      <c r="H21" s="31">
        <f t="shared" si="3"/>
        <v>11169.456999999999</v>
      </c>
      <c r="I21" s="126">
        <v>0.25</v>
      </c>
      <c r="J21" s="31">
        <f t="shared" si="4"/>
        <v>5584.7284999999993</v>
      </c>
      <c r="K21" s="126">
        <v>0.25</v>
      </c>
      <c r="L21" s="31">
        <f t="shared" si="5"/>
        <v>5584.7284999999993</v>
      </c>
      <c r="M21" s="39"/>
      <c r="N21" s="36">
        <f t="shared" si="8"/>
        <v>0</v>
      </c>
      <c r="O21" s="39"/>
      <c r="P21" s="36"/>
      <c r="Q21" s="33">
        <f t="shared" si="6"/>
        <v>1</v>
      </c>
      <c r="R21" s="31">
        <f t="shared" si="7"/>
        <v>22338.913999999997</v>
      </c>
    </row>
    <row r="22" spans="1:18">
      <c r="A22" s="129">
        <v>13</v>
      </c>
      <c r="B22" s="130" t="str">
        <f>VLOOKUP(A22,ORÇAMENTO!C20:L292,4)</f>
        <v>PINTURA</v>
      </c>
      <c r="C22" s="130">
        <f>VLOOKUP(A22,ORÇAMENTO!C20:L292,10)</f>
        <v>39578.5</v>
      </c>
      <c r="D22" s="34">
        <f t="shared" si="1"/>
        <v>0.12062938121266117</v>
      </c>
      <c r="E22" s="124"/>
      <c r="F22" s="31">
        <f t="shared" si="2"/>
        <v>0</v>
      </c>
      <c r="G22" s="126"/>
      <c r="H22" s="31">
        <f t="shared" si="3"/>
        <v>0</v>
      </c>
      <c r="I22" s="126"/>
      <c r="J22" s="31">
        <f t="shared" si="4"/>
        <v>0</v>
      </c>
      <c r="K22" s="126">
        <v>0.2</v>
      </c>
      <c r="L22" s="31">
        <f t="shared" si="5"/>
        <v>7915.7000000000007</v>
      </c>
      <c r="M22" s="39">
        <v>0.8</v>
      </c>
      <c r="N22" s="36">
        <f t="shared" si="8"/>
        <v>31662.800000000003</v>
      </c>
      <c r="O22" s="39"/>
      <c r="P22" s="36"/>
      <c r="Q22" s="33">
        <f t="shared" si="6"/>
        <v>1</v>
      </c>
      <c r="R22" s="31">
        <f t="shared" si="7"/>
        <v>39578.5</v>
      </c>
    </row>
    <row r="23" spans="1:18">
      <c r="A23" s="129">
        <v>14</v>
      </c>
      <c r="B23" s="130" t="str">
        <f>VLOOKUP(A23,ORÇAMENTO!C21:L293,4)</f>
        <v>ANDAIMES, LIMPEZA, BOTA FORA</v>
      </c>
      <c r="C23" s="130">
        <f>VLOOKUP(A23,ORÇAMENTO!C21:L293,10)</f>
        <v>2449.67</v>
      </c>
      <c r="D23" s="34">
        <f t="shared" si="1"/>
        <v>7.4662298034341799E-3</v>
      </c>
      <c r="E23" s="124">
        <v>0.2</v>
      </c>
      <c r="F23" s="31">
        <f t="shared" si="2"/>
        <v>489.93400000000003</v>
      </c>
      <c r="G23" s="126">
        <v>0.2</v>
      </c>
      <c r="H23" s="31">
        <f t="shared" si="3"/>
        <v>489.93400000000003</v>
      </c>
      <c r="I23" s="126">
        <v>0.2</v>
      </c>
      <c r="J23" s="31">
        <f t="shared" si="4"/>
        <v>489.93400000000003</v>
      </c>
      <c r="K23" s="126">
        <v>0.2</v>
      </c>
      <c r="L23" s="31">
        <f t="shared" si="5"/>
        <v>489.93400000000003</v>
      </c>
      <c r="M23" s="39">
        <v>0.2</v>
      </c>
      <c r="N23" s="36">
        <f t="shared" si="8"/>
        <v>489.93400000000003</v>
      </c>
      <c r="O23" s="39"/>
      <c r="P23" s="36"/>
      <c r="Q23" s="33">
        <f t="shared" si="6"/>
        <v>1</v>
      </c>
      <c r="R23" s="31">
        <f t="shared" si="7"/>
        <v>2449.67</v>
      </c>
    </row>
    <row r="24" spans="1:18">
      <c r="A24" s="129"/>
      <c r="B24" s="131"/>
      <c r="C24" s="130"/>
      <c r="D24" s="34"/>
      <c r="E24" s="35"/>
      <c r="F24" s="36"/>
      <c r="G24" s="37"/>
      <c r="H24" s="36"/>
      <c r="I24" s="37"/>
      <c r="J24" s="38"/>
      <c r="K24" s="37"/>
      <c r="L24" s="36"/>
      <c r="M24" s="39"/>
      <c r="N24" s="36"/>
      <c r="O24" s="39"/>
      <c r="P24" s="36"/>
      <c r="Q24" s="40"/>
      <c r="R24" s="36"/>
    </row>
    <row r="25" spans="1:18">
      <c r="A25" s="129"/>
      <c r="B25" s="131"/>
      <c r="C25" s="130"/>
      <c r="D25" s="34"/>
      <c r="E25" s="35"/>
      <c r="F25" s="36"/>
      <c r="G25" s="37"/>
      <c r="H25" s="36"/>
      <c r="I25" s="37"/>
      <c r="J25" s="38"/>
      <c r="K25" s="37"/>
      <c r="L25" s="36"/>
      <c r="M25" s="39"/>
      <c r="N25" s="36"/>
      <c r="O25" s="39"/>
      <c r="P25" s="36"/>
      <c r="Q25" s="40"/>
      <c r="R25" s="36"/>
    </row>
    <row r="26" spans="1:18">
      <c r="A26" s="132"/>
      <c r="B26" s="133"/>
      <c r="C26" s="134"/>
      <c r="D26" s="41"/>
      <c r="E26" s="42"/>
      <c r="F26" s="43"/>
      <c r="G26" s="44"/>
      <c r="H26" s="43"/>
      <c r="I26" s="44"/>
      <c r="J26" s="45"/>
      <c r="K26" s="44"/>
      <c r="L26" s="43"/>
      <c r="M26" s="46"/>
      <c r="N26" s="36"/>
      <c r="O26" s="46"/>
      <c r="P26" s="43"/>
      <c r="Q26" s="47"/>
      <c r="R26" s="43"/>
    </row>
    <row r="27" spans="1:18" s="57" customFormat="1">
      <c r="A27" s="48"/>
      <c r="B27" s="49" t="s">
        <v>305</v>
      </c>
      <c r="C27" s="50"/>
      <c r="D27" s="51"/>
      <c r="E27" s="52"/>
      <c r="F27" s="53">
        <f>SUM(F10:F26)</f>
        <v>62466.166499999999</v>
      </c>
      <c r="G27" s="54"/>
      <c r="H27" s="53">
        <f>SUM(H10:H26)</f>
        <v>62509.326500000003</v>
      </c>
      <c r="I27" s="54"/>
      <c r="J27" s="55">
        <f>SUM(J10:J26)</f>
        <v>67638.222999999998</v>
      </c>
      <c r="K27" s="54"/>
      <c r="L27" s="53">
        <f>SUM(L10:L26)</f>
        <v>67333.271599999993</v>
      </c>
      <c r="M27" s="54"/>
      <c r="N27" s="53">
        <f>SUM(N10:N26)</f>
        <v>68153.012600000002</v>
      </c>
      <c r="O27" s="54"/>
      <c r="P27" s="53"/>
      <c r="Q27" s="56"/>
      <c r="R27" s="53"/>
    </row>
    <row r="28" spans="1:18" s="57" customFormat="1">
      <c r="A28" s="58"/>
      <c r="B28" s="49" t="s">
        <v>306</v>
      </c>
      <c r="C28" s="50"/>
      <c r="D28" s="59"/>
      <c r="E28" s="52"/>
      <c r="F28" s="53">
        <f>F27</f>
        <v>62466.166499999999</v>
      </c>
      <c r="G28" s="54"/>
      <c r="H28" s="53">
        <f>H27+F28</f>
        <v>124975.493</v>
      </c>
      <c r="I28" s="54"/>
      <c r="J28" s="53">
        <f>J27+H28</f>
        <v>192613.71600000001</v>
      </c>
      <c r="K28" s="54"/>
      <c r="L28" s="53">
        <f>L27+J28</f>
        <v>259946.98759999999</v>
      </c>
      <c r="M28" s="54"/>
      <c r="N28" s="53">
        <f>N27+L28</f>
        <v>328100.00020000001</v>
      </c>
      <c r="O28" s="54"/>
      <c r="P28" s="53"/>
      <c r="Q28" s="60"/>
      <c r="R28" s="61"/>
    </row>
    <row r="29" spans="1:18" s="70" customFormat="1" ht="12.75">
      <c r="A29" s="62"/>
      <c r="B29" s="63" t="s">
        <v>294</v>
      </c>
      <c r="C29" s="64">
        <f>SUM(C9:C26)</f>
        <v>328100.00019999995</v>
      </c>
      <c r="D29" s="65"/>
      <c r="E29" s="66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8"/>
      <c r="Q29" s="69"/>
      <c r="R29" s="68"/>
    </row>
    <row r="30" spans="1:18">
      <c r="A30" s="71"/>
      <c r="B30" s="72"/>
      <c r="C30" s="73"/>
      <c r="D30" s="73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5"/>
    </row>
    <row r="31" spans="1:18">
      <c r="A31" s="71"/>
      <c r="B31" s="76" t="s">
        <v>798</v>
      </c>
      <c r="C31" s="77">
        <v>5</v>
      </c>
      <c r="D31" s="78" t="s">
        <v>312</v>
      </c>
      <c r="E31" s="79"/>
      <c r="F31" s="80"/>
      <c r="G31" s="79"/>
      <c r="H31" s="79"/>
      <c r="I31" s="79"/>
      <c r="J31" s="79"/>
      <c r="K31" s="79"/>
      <c r="L31" s="79"/>
      <c r="M31" s="79"/>
      <c r="N31" s="79"/>
      <c r="O31" s="79"/>
      <c r="P31" s="81">
        <f>F27+H27+J27+L27+N27+P27</f>
        <v>328100.00020000001</v>
      </c>
      <c r="Q31" s="81"/>
      <c r="R31" s="82"/>
    </row>
    <row r="32" spans="1:18">
      <c r="A32" s="83"/>
      <c r="B32" s="84"/>
      <c r="C32" s="85"/>
      <c r="D32" s="86"/>
      <c r="E32" s="79"/>
      <c r="F32" s="87" t="s">
        <v>307</v>
      </c>
      <c r="G32" s="79"/>
      <c r="H32" s="79"/>
      <c r="I32" s="79"/>
      <c r="J32" s="87" t="s">
        <v>308</v>
      </c>
      <c r="K32" s="178"/>
      <c r="L32" s="178"/>
      <c r="M32" s="178"/>
      <c r="N32" s="178"/>
      <c r="O32" s="79"/>
      <c r="P32" s="79"/>
      <c r="Q32" s="79"/>
      <c r="R32" s="82"/>
    </row>
    <row r="33" spans="1:18">
      <c r="A33" s="21"/>
      <c r="B33" s="21"/>
      <c r="C33" s="88"/>
      <c r="D33" s="88"/>
      <c r="E33" s="89"/>
      <c r="F33" s="89"/>
      <c r="G33" s="89"/>
      <c r="H33" s="89"/>
      <c r="I33" s="89"/>
      <c r="J33" s="90" t="s">
        <v>309</v>
      </c>
      <c r="K33" s="179"/>
      <c r="L33" s="179"/>
      <c r="M33" s="179"/>
      <c r="N33" s="179"/>
      <c r="O33" s="91"/>
      <c r="P33" s="91"/>
      <c r="Q33" s="89"/>
      <c r="R33" s="92"/>
    </row>
    <row r="34" spans="1:18" ht="45">
      <c r="A34" s="93"/>
      <c r="B34" s="93" t="s">
        <v>797</v>
      </c>
    </row>
    <row r="35" spans="1:18">
      <c r="A35" s="93"/>
      <c r="B35" s="94"/>
      <c r="O35" s="95"/>
      <c r="P35" s="95">
        <f>C29</f>
        <v>328100.00019999995</v>
      </c>
      <c r="R35" s="95"/>
    </row>
    <row r="36" spans="1:18">
      <c r="A36" s="93"/>
      <c r="B36" s="93"/>
      <c r="C36" s="96"/>
      <c r="H36" s="95"/>
      <c r="P36" s="95">
        <f>P28</f>
        <v>0</v>
      </c>
    </row>
    <row r="37" spans="1:18">
      <c r="A37" s="93"/>
      <c r="B37" s="97"/>
      <c r="C37" s="98"/>
      <c r="P37" s="99">
        <f>P35-P36</f>
        <v>328100.00019999995</v>
      </c>
    </row>
    <row r="38" spans="1:18">
      <c r="A38" s="93"/>
      <c r="B38" s="97"/>
    </row>
    <row r="39" spans="1:18">
      <c r="A39" s="93"/>
      <c r="B39" s="93"/>
      <c r="C39" s="95"/>
    </row>
    <row r="40" spans="1:18">
      <c r="A40" s="93"/>
      <c r="B40" s="93"/>
    </row>
    <row r="41" spans="1:18">
      <c r="A41" s="93"/>
      <c r="B41" s="93"/>
    </row>
    <row r="42" spans="1:18">
      <c r="A42" s="93"/>
      <c r="B42" s="93"/>
    </row>
    <row r="43" spans="1:18">
      <c r="A43" s="93"/>
      <c r="B43" s="93"/>
    </row>
    <row r="44" spans="1:18">
      <c r="A44" s="93"/>
      <c r="B44" s="93"/>
    </row>
    <row r="45" spans="1:18">
      <c r="A45" s="93"/>
      <c r="B45" s="93"/>
    </row>
    <row r="46" spans="1:18">
      <c r="A46" s="93"/>
      <c r="B46" s="93"/>
    </row>
    <row r="47" spans="1:18">
      <c r="A47" s="93"/>
      <c r="B47" s="93"/>
    </row>
    <row r="48" spans="1:18">
      <c r="A48" s="93"/>
      <c r="B48" s="93"/>
    </row>
    <row r="49" spans="1:2">
      <c r="A49" s="93"/>
      <c r="B49" s="93"/>
    </row>
    <row r="50" spans="1:2">
      <c r="A50" s="93"/>
      <c r="B50" s="93"/>
    </row>
    <row r="51" spans="1:2">
      <c r="A51" s="93"/>
      <c r="B51" s="93"/>
    </row>
    <row r="52" spans="1:2">
      <c r="A52" s="93"/>
      <c r="B52" s="93"/>
    </row>
    <row r="53" spans="1:2">
      <c r="A53" s="93"/>
      <c r="B53" s="93"/>
    </row>
    <row r="54" spans="1:2">
      <c r="A54" s="93"/>
      <c r="B54" s="93"/>
    </row>
    <row r="55" spans="1:2">
      <c r="A55" s="93"/>
      <c r="B55" s="93"/>
    </row>
    <row r="56" spans="1:2">
      <c r="A56" s="100"/>
      <c r="B56" s="93"/>
    </row>
    <row r="57" spans="1:2">
      <c r="A57" s="93"/>
      <c r="B57" s="93"/>
    </row>
    <row r="58" spans="1:2">
      <c r="A58" s="93"/>
      <c r="B58" s="93"/>
    </row>
    <row r="59" spans="1:2">
      <c r="A59" s="100"/>
      <c r="B59" s="93"/>
    </row>
    <row r="60" spans="1:2">
      <c r="A60" s="93"/>
      <c r="B60" s="93"/>
    </row>
    <row r="61" spans="1:2">
      <c r="A61" s="93"/>
      <c r="B61" s="93"/>
    </row>
    <row r="62" spans="1:2">
      <c r="A62" s="93"/>
      <c r="B62" s="93"/>
    </row>
    <row r="63" spans="1:2">
      <c r="A63" s="93"/>
      <c r="B63" s="93"/>
    </row>
    <row r="64" spans="1:2">
      <c r="A64" s="100"/>
      <c r="B64" s="93"/>
    </row>
    <row r="65" spans="1:2">
      <c r="A65" s="93"/>
      <c r="B65" s="93"/>
    </row>
    <row r="66" spans="1:2">
      <c r="A66" s="93"/>
      <c r="B66" s="93"/>
    </row>
    <row r="67" spans="1:2">
      <c r="A67" s="93"/>
      <c r="B67" s="93"/>
    </row>
    <row r="68" spans="1:2">
      <c r="A68" s="93"/>
      <c r="B68" s="93"/>
    </row>
    <row r="69" spans="1:2">
      <c r="A69" s="93"/>
      <c r="B69" s="93"/>
    </row>
    <row r="70" spans="1:2">
      <c r="A70" s="93"/>
      <c r="B70" s="93"/>
    </row>
    <row r="71" spans="1:2">
      <c r="A71" s="93"/>
      <c r="B71" s="93"/>
    </row>
    <row r="72" spans="1:2">
      <c r="A72" s="93"/>
      <c r="B72" s="93"/>
    </row>
    <row r="73" spans="1:2">
      <c r="A73" s="93"/>
      <c r="B73" s="93"/>
    </row>
    <row r="74" spans="1:2">
      <c r="A74" s="93"/>
      <c r="B74" s="93"/>
    </row>
    <row r="75" spans="1:2">
      <c r="A75" s="93"/>
      <c r="B75" s="93"/>
    </row>
    <row r="76" spans="1:2">
      <c r="A76" s="100"/>
      <c r="B76" s="93"/>
    </row>
    <row r="77" spans="1:2">
      <c r="A77" s="93"/>
      <c r="B77" s="93"/>
    </row>
    <row r="78" spans="1:2">
      <c r="A78" s="93"/>
      <c r="B78" s="93"/>
    </row>
    <row r="79" spans="1:2">
      <c r="A79" s="93"/>
      <c r="B79" s="93"/>
    </row>
    <row r="80" spans="1:2">
      <c r="A80" s="93"/>
      <c r="B80" s="93"/>
    </row>
    <row r="81" spans="1:2">
      <c r="A81" s="93"/>
      <c r="B81" s="93"/>
    </row>
    <row r="82" spans="1:2">
      <c r="A82" s="93"/>
      <c r="B82" s="93"/>
    </row>
    <row r="83" spans="1:2">
      <c r="A83" s="93"/>
      <c r="B83" s="93"/>
    </row>
    <row r="84" spans="1:2">
      <c r="A84" s="93"/>
      <c r="B84" s="93"/>
    </row>
    <row r="85" spans="1:2">
      <c r="A85" s="93"/>
      <c r="B85" s="93"/>
    </row>
    <row r="86" spans="1:2">
      <c r="A86" s="93"/>
      <c r="B86" s="93"/>
    </row>
    <row r="87" spans="1:2">
      <c r="A87" s="100"/>
      <c r="B87" s="93"/>
    </row>
    <row r="88" spans="1:2">
      <c r="A88" s="93"/>
      <c r="B88" s="93"/>
    </row>
    <row r="89" spans="1:2">
      <c r="A89" s="93"/>
      <c r="B89" s="93"/>
    </row>
    <row r="90" spans="1:2">
      <c r="A90" s="100"/>
      <c r="B90" s="93"/>
    </row>
    <row r="91" spans="1:2">
      <c r="A91" s="93"/>
      <c r="B91" s="93"/>
    </row>
    <row r="92" spans="1:2">
      <c r="A92" s="93"/>
      <c r="B92" s="93"/>
    </row>
    <row r="93" spans="1:2">
      <c r="A93" s="93"/>
      <c r="B93" s="93"/>
    </row>
    <row r="94" spans="1:2">
      <c r="A94" s="93"/>
      <c r="B94" s="93"/>
    </row>
    <row r="95" spans="1:2">
      <c r="A95" s="93"/>
      <c r="B95" s="93"/>
    </row>
    <row r="96" spans="1:2">
      <c r="A96" s="93"/>
      <c r="B96" s="93"/>
    </row>
    <row r="97" spans="1:2">
      <c r="A97" s="100"/>
      <c r="B97" s="93"/>
    </row>
    <row r="98" spans="1:2">
      <c r="A98" s="93"/>
      <c r="B98" s="93"/>
    </row>
    <row r="99" spans="1:2">
      <c r="A99" s="93"/>
      <c r="B99" s="93"/>
    </row>
    <row r="100" spans="1:2">
      <c r="A100" s="93"/>
      <c r="B100" s="93"/>
    </row>
    <row r="101" spans="1:2">
      <c r="A101" s="93"/>
      <c r="B101" s="93"/>
    </row>
    <row r="102" spans="1:2">
      <c r="A102" s="93"/>
      <c r="B102" s="93"/>
    </row>
    <row r="103" spans="1:2">
      <c r="A103" s="93"/>
      <c r="B103" s="93"/>
    </row>
    <row r="104" spans="1:2">
      <c r="A104" s="100"/>
      <c r="B104" s="93"/>
    </row>
    <row r="105" spans="1:2">
      <c r="A105" s="93"/>
      <c r="B105" s="93"/>
    </row>
    <row r="106" spans="1:2">
      <c r="A106" s="93"/>
      <c r="B106" s="93"/>
    </row>
    <row r="107" spans="1:2">
      <c r="A107" s="100"/>
      <c r="B107" s="93"/>
    </row>
    <row r="108" spans="1:2">
      <c r="A108" s="93"/>
      <c r="B108" s="93"/>
    </row>
    <row r="109" spans="1:2">
      <c r="A109" s="93"/>
      <c r="B109" s="93"/>
    </row>
    <row r="110" spans="1:2">
      <c r="A110" s="93"/>
      <c r="B110" s="93"/>
    </row>
    <row r="111" spans="1:2">
      <c r="A111" s="93"/>
      <c r="B111" s="93"/>
    </row>
    <row r="112" spans="1:2">
      <c r="A112" s="93"/>
      <c r="B112" s="93"/>
    </row>
    <row r="113" spans="1:2">
      <c r="A113" s="93"/>
      <c r="B113" s="93"/>
    </row>
    <row r="114" spans="1:2">
      <c r="A114" s="100"/>
      <c r="B114" s="93"/>
    </row>
    <row r="115" spans="1:2">
      <c r="A115" s="93"/>
      <c r="B115" s="93"/>
    </row>
    <row r="116" spans="1:2">
      <c r="A116" s="93"/>
      <c r="B116" s="93"/>
    </row>
    <row r="117" spans="1:2">
      <c r="A117" s="100"/>
      <c r="B117" s="93"/>
    </row>
    <row r="118" spans="1:2">
      <c r="A118" s="93"/>
      <c r="B118" s="93"/>
    </row>
    <row r="119" spans="1:2">
      <c r="A119" s="93"/>
      <c r="B119" s="93"/>
    </row>
    <row r="120" spans="1:2">
      <c r="A120" s="100"/>
      <c r="B120" s="93"/>
    </row>
    <row r="121" spans="1:2">
      <c r="A121" s="93"/>
      <c r="B121" s="93"/>
    </row>
    <row r="122" spans="1:2">
      <c r="A122" s="93"/>
      <c r="B122" s="93"/>
    </row>
    <row r="123" spans="1:2">
      <c r="A123" s="93"/>
      <c r="B123" s="93"/>
    </row>
    <row r="124" spans="1:2">
      <c r="A124" s="93"/>
      <c r="B124" s="93"/>
    </row>
    <row r="125" spans="1:2">
      <c r="A125" s="100"/>
      <c r="B125" s="93"/>
    </row>
    <row r="126" spans="1:2">
      <c r="A126" s="93"/>
      <c r="B126" s="93"/>
    </row>
    <row r="127" spans="1:2">
      <c r="A127" s="93"/>
      <c r="B127" s="93"/>
    </row>
    <row r="128" spans="1:2">
      <c r="A128" s="93"/>
      <c r="B128" s="93"/>
    </row>
    <row r="129" spans="1:2">
      <c r="A129" s="93"/>
      <c r="B129" s="93"/>
    </row>
    <row r="130" spans="1:2">
      <c r="A130" s="93"/>
      <c r="B130" s="93"/>
    </row>
    <row r="131" spans="1:2">
      <c r="A131" s="93"/>
      <c r="B131" s="93"/>
    </row>
    <row r="132" spans="1:2">
      <c r="A132" s="93"/>
      <c r="B132" s="93"/>
    </row>
    <row r="133" spans="1:2">
      <c r="A133" s="93"/>
      <c r="B133" s="93"/>
    </row>
    <row r="134" spans="1:2">
      <c r="A134" s="93"/>
      <c r="B134" s="93"/>
    </row>
    <row r="135" spans="1:2">
      <c r="A135" s="93"/>
      <c r="B135" s="93"/>
    </row>
    <row r="136" spans="1:2">
      <c r="A136" s="93"/>
      <c r="B136" s="93"/>
    </row>
    <row r="137" spans="1:2">
      <c r="A137" s="93"/>
      <c r="B137" s="93"/>
    </row>
    <row r="138" spans="1:2">
      <c r="A138" s="100"/>
      <c r="B138" s="93"/>
    </row>
    <row r="139" spans="1:2">
      <c r="A139" s="93"/>
      <c r="B139" s="93"/>
    </row>
    <row r="140" spans="1:2">
      <c r="A140" s="93"/>
      <c r="B140" s="93"/>
    </row>
    <row r="141" spans="1:2">
      <c r="A141" s="93"/>
      <c r="B141" s="93"/>
    </row>
    <row r="142" spans="1:2">
      <c r="A142" s="93"/>
      <c r="B142" s="93"/>
    </row>
    <row r="143" spans="1:2">
      <c r="A143" s="100"/>
      <c r="B143" s="93"/>
    </row>
    <row r="144" spans="1:2">
      <c r="A144" s="93"/>
      <c r="B144" s="93"/>
    </row>
    <row r="145" spans="1:2">
      <c r="A145" s="93"/>
      <c r="B145" s="93"/>
    </row>
    <row r="146" spans="1:2">
      <c r="A146" s="93"/>
      <c r="B146" s="93"/>
    </row>
    <row r="147" spans="1:2">
      <c r="A147" s="93"/>
      <c r="B147" s="93"/>
    </row>
    <row r="148" spans="1:2">
      <c r="A148" s="93"/>
      <c r="B148" s="93"/>
    </row>
    <row r="149" spans="1:2">
      <c r="A149" s="93"/>
      <c r="B149" s="93"/>
    </row>
    <row r="150" spans="1:2">
      <c r="A150" s="93"/>
      <c r="B150" s="93"/>
    </row>
    <row r="151" spans="1:2">
      <c r="A151" s="93"/>
      <c r="B151" s="93"/>
    </row>
    <row r="152" spans="1:2">
      <c r="A152" s="100"/>
      <c r="B152" s="93"/>
    </row>
    <row r="153" spans="1:2">
      <c r="A153" s="93"/>
      <c r="B153" s="93"/>
    </row>
    <row r="154" spans="1:2">
      <c r="A154" s="93"/>
      <c r="B154" s="93"/>
    </row>
    <row r="155" spans="1:2">
      <c r="A155" s="93"/>
      <c r="B155" s="93"/>
    </row>
    <row r="156" spans="1:2">
      <c r="A156" s="93"/>
      <c r="B156" s="93"/>
    </row>
    <row r="157" spans="1:2">
      <c r="A157" s="100"/>
      <c r="B157" s="93"/>
    </row>
    <row r="158" spans="1:2">
      <c r="A158" s="93"/>
      <c r="B158" s="93"/>
    </row>
    <row r="159" spans="1:2">
      <c r="A159" s="93"/>
      <c r="B159" s="93"/>
    </row>
    <row r="160" spans="1:2">
      <c r="A160" s="100"/>
      <c r="B160" s="93"/>
    </row>
    <row r="161" spans="1:2">
      <c r="A161" s="93"/>
      <c r="B161" s="93"/>
    </row>
    <row r="162" spans="1:2">
      <c r="A162" s="93"/>
      <c r="B162" s="93"/>
    </row>
  </sheetData>
  <mergeCells count="16">
    <mergeCell ref="K32:N32"/>
    <mergeCell ref="K33:N33"/>
    <mergeCell ref="K8:L8"/>
    <mergeCell ref="M8:N8"/>
    <mergeCell ref="B6:R6"/>
    <mergeCell ref="E7:R7"/>
    <mergeCell ref="B4:B5"/>
    <mergeCell ref="C4:F4"/>
    <mergeCell ref="C5:F5"/>
    <mergeCell ref="O8:P8"/>
    <mergeCell ref="Q8:R8"/>
    <mergeCell ref="B8:B9"/>
    <mergeCell ref="C8:D8"/>
    <mergeCell ref="E8:F8"/>
    <mergeCell ref="G8:H8"/>
    <mergeCell ref="I8:J8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46"/>
  <sheetViews>
    <sheetView topLeftCell="A168" workbookViewId="0">
      <selection activeCell="I85" sqref="I85"/>
    </sheetView>
  </sheetViews>
  <sheetFormatPr defaultRowHeight="15"/>
  <cols>
    <col min="2" max="2" width="12.28515625" customWidth="1"/>
    <col min="3" max="3" width="16.28515625" customWidth="1"/>
    <col min="4" max="5" width="11" customWidth="1"/>
    <col min="9" max="9" width="6.5703125" customWidth="1"/>
    <col min="10" max="10" width="6.42578125" customWidth="1"/>
    <col min="11" max="11" width="6" customWidth="1"/>
    <col min="12" max="12" width="6.5703125" customWidth="1"/>
    <col min="13" max="13" width="6.140625" customWidth="1"/>
    <col min="15" max="15" width="11.5703125" customWidth="1"/>
  </cols>
  <sheetData>
    <row r="1" spans="1:17" ht="21">
      <c r="A1" s="1" t="s">
        <v>0</v>
      </c>
    </row>
    <row r="2" spans="1:17">
      <c r="A2" s="2"/>
    </row>
    <row r="3" spans="1:17" ht="18" customHeight="1">
      <c r="A3" s="180" t="s">
        <v>318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2"/>
    </row>
    <row r="4" spans="1:17" ht="27" customHeight="1">
      <c r="A4" s="8" t="s">
        <v>5</v>
      </c>
      <c r="B4" s="8" t="s">
        <v>6</v>
      </c>
      <c r="C4" s="8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  <c r="I4" s="8" t="s">
        <v>13</v>
      </c>
      <c r="J4" s="8" t="s">
        <v>14</v>
      </c>
      <c r="K4" s="8" t="s">
        <v>15</v>
      </c>
      <c r="L4" s="8" t="s">
        <v>16</v>
      </c>
      <c r="M4" s="8" t="s">
        <v>17</v>
      </c>
      <c r="N4" s="8" t="s">
        <v>18</v>
      </c>
      <c r="O4" s="8" t="s">
        <v>19</v>
      </c>
      <c r="P4" s="8" t="s">
        <v>20</v>
      </c>
      <c r="Q4" s="8" t="s">
        <v>21</v>
      </c>
    </row>
    <row r="5" spans="1:17">
      <c r="A5" s="8" t="s">
        <v>1</v>
      </c>
      <c r="B5" s="8" t="s">
        <v>22</v>
      </c>
      <c r="C5" s="8" t="s">
        <v>22</v>
      </c>
      <c r="D5" s="8" t="s">
        <v>22</v>
      </c>
      <c r="E5" s="8" t="s">
        <v>22</v>
      </c>
      <c r="F5" s="8" t="s">
        <v>22</v>
      </c>
      <c r="G5" s="8" t="s">
        <v>22</v>
      </c>
      <c r="H5" s="8" t="s">
        <v>22</v>
      </c>
      <c r="I5" s="8" t="s">
        <v>22</v>
      </c>
      <c r="J5" s="8" t="s">
        <v>22</v>
      </c>
      <c r="K5" s="8" t="s">
        <v>22</v>
      </c>
      <c r="L5" s="8" t="s">
        <v>22</v>
      </c>
      <c r="M5" s="8" t="s">
        <v>22</v>
      </c>
      <c r="N5" s="8" t="s">
        <v>22</v>
      </c>
      <c r="O5" s="8" t="s">
        <v>23</v>
      </c>
      <c r="P5" s="8" t="s">
        <v>24</v>
      </c>
      <c r="Q5" s="8" t="s">
        <v>25</v>
      </c>
    </row>
    <row r="6" spans="1:17">
      <c r="A6" s="9" t="s">
        <v>26</v>
      </c>
      <c r="B6" s="9" t="s">
        <v>1</v>
      </c>
      <c r="C6" s="9" t="s">
        <v>1</v>
      </c>
      <c r="D6" s="9">
        <v>1</v>
      </c>
      <c r="E6" s="9" t="s">
        <v>1</v>
      </c>
      <c r="F6" s="9" t="s">
        <v>1</v>
      </c>
      <c r="G6" s="9">
        <v>3</v>
      </c>
      <c r="H6" s="9" t="s">
        <v>1</v>
      </c>
      <c r="I6" s="9" t="s">
        <v>1</v>
      </c>
      <c r="J6" s="9" t="s">
        <v>1</v>
      </c>
      <c r="K6" s="9" t="s">
        <v>1</v>
      </c>
      <c r="L6" s="9" t="s">
        <v>1</v>
      </c>
      <c r="M6" s="9" t="s">
        <v>1</v>
      </c>
      <c r="N6" s="9">
        <v>4</v>
      </c>
      <c r="O6" s="9" t="s">
        <v>319</v>
      </c>
      <c r="P6" s="9">
        <v>2</v>
      </c>
      <c r="Q6" s="9">
        <v>25</v>
      </c>
    </row>
    <row r="7" spans="1:17">
      <c r="A7" s="9" t="s">
        <v>27</v>
      </c>
      <c r="B7" s="9" t="s">
        <v>1</v>
      </c>
      <c r="C7" s="9">
        <v>19</v>
      </c>
      <c r="D7" s="9" t="s">
        <v>1</v>
      </c>
      <c r="E7" s="9" t="s">
        <v>1</v>
      </c>
      <c r="F7" s="9">
        <v>42</v>
      </c>
      <c r="G7" s="9" t="s">
        <v>1</v>
      </c>
      <c r="H7" s="9" t="s">
        <v>1</v>
      </c>
      <c r="I7" s="9" t="s">
        <v>1</v>
      </c>
      <c r="J7" s="9" t="s">
        <v>1</v>
      </c>
      <c r="K7" s="9" t="s">
        <v>1</v>
      </c>
      <c r="L7" s="9" t="s">
        <v>1</v>
      </c>
      <c r="M7" s="9" t="s">
        <v>1</v>
      </c>
      <c r="N7" s="9">
        <v>61</v>
      </c>
      <c r="O7" s="9" t="s">
        <v>320</v>
      </c>
      <c r="P7" s="9">
        <v>16</v>
      </c>
      <c r="Q7" s="9">
        <v>25</v>
      </c>
    </row>
    <row r="8" spans="1:17">
      <c r="A8" s="9" t="s">
        <v>28</v>
      </c>
      <c r="B8" s="9" t="s">
        <v>1</v>
      </c>
      <c r="C8" s="9" t="s">
        <v>1</v>
      </c>
      <c r="D8" s="9" t="s">
        <v>1</v>
      </c>
      <c r="E8" s="9" t="s">
        <v>1</v>
      </c>
      <c r="F8" s="9" t="s">
        <v>1</v>
      </c>
      <c r="G8" s="9" t="s">
        <v>1</v>
      </c>
      <c r="H8" s="9" t="s">
        <v>1</v>
      </c>
      <c r="I8" s="9" t="s">
        <v>1</v>
      </c>
      <c r="J8" s="9" t="s">
        <v>1</v>
      </c>
      <c r="K8" s="9" t="s">
        <v>1</v>
      </c>
      <c r="L8" s="9" t="s">
        <v>1</v>
      </c>
      <c r="M8" s="9" t="s">
        <v>1</v>
      </c>
      <c r="N8" s="9" t="s">
        <v>1</v>
      </c>
      <c r="O8" s="9" t="s">
        <v>1</v>
      </c>
      <c r="P8" s="9" t="s">
        <v>1</v>
      </c>
      <c r="Q8" s="9">
        <v>25</v>
      </c>
    </row>
    <row r="9" spans="1:17" ht="27">
      <c r="A9" s="9" t="s">
        <v>29</v>
      </c>
      <c r="B9" s="9" t="s">
        <v>1</v>
      </c>
      <c r="C9" s="9" t="s">
        <v>1</v>
      </c>
      <c r="D9" s="9" t="s">
        <v>1</v>
      </c>
      <c r="E9" s="9" t="s">
        <v>1</v>
      </c>
      <c r="F9" s="9" t="s">
        <v>1</v>
      </c>
      <c r="G9" s="9" t="s">
        <v>1</v>
      </c>
      <c r="H9" s="9" t="s">
        <v>1</v>
      </c>
      <c r="I9" s="9" t="s">
        <v>1</v>
      </c>
      <c r="J9" s="9" t="s">
        <v>1</v>
      </c>
      <c r="K9" s="9" t="s">
        <v>1</v>
      </c>
      <c r="L9" s="9" t="s">
        <v>1</v>
      </c>
      <c r="M9" s="9" t="s">
        <v>1</v>
      </c>
      <c r="N9" s="9" t="s">
        <v>1</v>
      </c>
      <c r="O9" s="9" t="s">
        <v>1</v>
      </c>
      <c r="P9" s="9" t="s">
        <v>1</v>
      </c>
      <c r="Q9" s="9">
        <v>25</v>
      </c>
    </row>
    <row r="10" spans="1:17">
      <c r="A10" s="9" t="s">
        <v>30</v>
      </c>
      <c r="B10" s="9" t="s">
        <v>1</v>
      </c>
      <c r="C10" s="9" t="s">
        <v>1</v>
      </c>
      <c r="D10" s="9" t="s">
        <v>1</v>
      </c>
      <c r="E10" s="9" t="s">
        <v>1</v>
      </c>
      <c r="F10" s="9" t="s">
        <v>1</v>
      </c>
      <c r="G10" s="9" t="s">
        <v>1</v>
      </c>
      <c r="H10" s="9" t="s">
        <v>1</v>
      </c>
      <c r="I10" s="9" t="s">
        <v>1</v>
      </c>
      <c r="J10" s="9" t="s">
        <v>1</v>
      </c>
      <c r="K10" s="9" t="s">
        <v>1</v>
      </c>
      <c r="L10" s="9" t="s">
        <v>1</v>
      </c>
      <c r="M10" s="9" t="s">
        <v>1</v>
      </c>
      <c r="N10" s="9" t="s">
        <v>1</v>
      </c>
      <c r="O10" s="9" t="s">
        <v>1</v>
      </c>
      <c r="P10" s="9" t="s">
        <v>1</v>
      </c>
      <c r="Q10" s="9" t="s">
        <v>1</v>
      </c>
    </row>
    <row r="11" spans="1:17">
      <c r="A11" s="9" t="s">
        <v>31</v>
      </c>
      <c r="B11" s="9" t="s">
        <v>1</v>
      </c>
      <c r="C11" s="9">
        <v>19</v>
      </c>
      <c r="D11" s="9">
        <v>1</v>
      </c>
      <c r="E11" s="9" t="s">
        <v>1</v>
      </c>
      <c r="F11" s="9">
        <v>42</v>
      </c>
      <c r="G11" s="9">
        <v>3</v>
      </c>
      <c r="H11" s="9" t="s">
        <v>1</v>
      </c>
      <c r="I11" s="9" t="s">
        <v>1</v>
      </c>
      <c r="J11" s="9" t="s">
        <v>1</v>
      </c>
      <c r="K11" s="9" t="s">
        <v>1</v>
      </c>
      <c r="L11" s="9" t="s">
        <v>1</v>
      </c>
      <c r="M11" s="9" t="s">
        <v>1</v>
      </c>
      <c r="N11" s="9">
        <v>65</v>
      </c>
      <c r="O11" s="9" t="s">
        <v>321</v>
      </c>
      <c r="P11" s="9">
        <v>18</v>
      </c>
      <c r="Q11" s="9" t="s">
        <v>1</v>
      </c>
    </row>
    <row r="12" spans="1:17">
      <c r="A12" s="3"/>
      <c r="Q12" s="4"/>
    </row>
    <row r="13" spans="1:17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7"/>
    </row>
    <row r="14" spans="1:17">
      <c r="A14" s="2"/>
    </row>
    <row r="15" spans="1:17" ht="18" customHeight="1">
      <c r="A15" s="180" t="s">
        <v>4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2"/>
    </row>
    <row r="16" spans="1:17" ht="22.5" customHeight="1">
      <c r="A16" s="8" t="s">
        <v>5</v>
      </c>
      <c r="B16" s="8" t="s">
        <v>6</v>
      </c>
      <c r="C16" s="8" t="s">
        <v>7</v>
      </c>
      <c r="D16" s="8" t="s">
        <v>8</v>
      </c>
      <c r="E16" s="8" t="s">
        <v>9</v>
      </c>
      <c r="F16" s="8" t="s">
        <v>10</v>
      </c>
      <c r="G16" s="8" t="s">
        <v>11</v>
      </c>
      <c r="H16" s="8" t="s">
        <v>12</v>
      </c>
      <c r="I16" s="8" t="s">
        <v>13</v>
      </c>
      <c r="J16" s="8" t="s">
        <v>14</v>
      </c>
      <c r="K16" s="8" t="s">
        <v>15</v>
      </c>
      <c r="L16" s="8" t="s">
        <v>16</v>
      </c>
      <c r="M16" s="8" t="s">
        <v>17</v>
      </c>
      <c r="N16" s="8" t="s">
        <v>18</v>
      </c>
      <c r="O16" s="8" t="s">
        <v>19</v>
      </c>
      <c r="P16" s="8" t="s">
        <v>20</v>
      </c>
      <c r="Q16" s="8" t="s">
        <v>21</v>
      </c>
    </row>
    <row r="17" spans="1:17">
      <c r="A17" s="8" t="s">
        <v>1</v>
      </c>
      <c r="B17" s="8" t="s">
        <v>22</v>
      </c>
      <c r="C17" s="8" t="s">
        <v>22</v>
      </c>
      <c r="D17" s="8" t="s">
        <v>22</v>
      </c>
      <c r="E17" s="8" t="s">
        <v>22</v>
      </c>
      <c r="F17" s="8" t="s">
        <v>22</v>
      </c>
      <c r="G17" s="8" t="s">
        <v>22</v>
      </c>
      <c r="H17" s="8" t="s">
        <v>22</v>
      </c>
      <c r="I17" s="8" t="s">
        <v>22</v>
      </c>
      <c r="J17" s="8" t="s">
        <v>22</v>
      </c>
      <c r="K17" s="8" t="s">
        <v>22</v>
      </c>
      <c r="L17" s="8" t="s">
        <v>22</v>
      </c>
      <c r="M17" s="8" t="s">
        <v>22</v>
      </c>
      <c r="N17" s="8" t="s">
        <v>22</v>
      </c>
      <c r="O17" s="8" t="s">
        <v>23</v>
      </c>
      <c r="P17" s="8" t="s">
        <v>24</v>
      </c>
      <c r="Q17" s="8" t="s">
        <v>25</v>
      </c>
    </row>
    <row r="18" spans="1:17">
      <c r="A18" s="9" t="s">
        <v>26</v>
      </c>
      <c r="B18" s="9" t="s">
        <v>1</v>
      </c>
      <c r="C18" s="9" t="s">
        <v>1</v>
      </c>
      <c r="D18" s="9">
        <v>53</v>
      </c>
      <c r="E18" s="9">
        <v>15</v>
      </c>
      <c r="F18" s="9" t="s">
        <v>1</v>
      </c>
      <c r="G18" s="9">
        <v>113</v>
      </c>
      <c r="H18" s="9">
        <v>11</v>
      </c>
      <c r="I18" s="9">
        <v>45</v>
      </c>
      <c r="J18" s="9">
        <v>15</v>
      </c>
      <c r="K18" s="9" t="s">
        <v>1</v>
      </c>
      <c r="L18" s="9" t="s">
        <v>1</v>
      </c>
      <c r="M18" s="9" t="s">
        <v>1</v>
      </c>
      <c r="N18" s="9">
        <v>252</v>
      </c>
      <c r="O18" s="9" t="s">
        <v>322</v>
      </c>
      <c r="P18" s="9">
        <v>59</v>
      </c>
      <c r="Q18" s="9">
        <v>25</v>
      </c>
    </row>
    <row r="19" spans="1:17">
      <c r="A19" s="9" t="s">
        <v>27</v>
      </c>
      <c r="B19" s="9" t="s">
        <v>1</v>
      </c>
      <c r="C19" s="9">
        <v>63</v>
      </c>
      <c r="D19" s="9">
        <v>1</v>
      </c>
      <c r="E19" s="9">
        <v>21</v>
      </c>
      <c r="F19" s="9">
        <v>81</v>
      </c>
      <c r="G19" s="9">
        <v>78</v>
      </c>
      <c r="H19" s="9" t="s">
        <v>1</v>
      </c>
      <c r="I19" s="9" t="s">
        <v>1</v>
      </c>
      <c r="J19" s="9" t="s">
        <v>1</v>
      </c>
      <c r="K19" s="9" t="s">
        <v>1</v>
      </c>
      <c r="L19" s="9" t="s">
        <v>1</v>
      </c>
      <c r="M19" s="9" t="s">
        <v>1</v>
      </c>
      <c r="N19" s="9">
        <v>244</v>
      </c>
      <c r="O19" s="9" t="s">
        <v>323</v>
      </c>
      <c r="P19" s="9">
        <v>69</v>
      </c>
      <c r="Q19" s="9">
        <v>25</v>
      </c>
    </row>
    <row r="20" spans="1:17">
      <c r="A20" s="9" t="s">
        <v>28</v>
      </c>
      <c r="B20" s="9" t="s">
        <v>1</v>
      </c>
      <c r="C20" s="9" t="s">
        <v>1</v>
      </c>
      <c r="D20" s="9" t="s">
        <v>1</v>
      </c>
      <c r="E20" s="9" t="s">
        <v>1</v>
      </c>
      <c r="F20" s="9" t="s">
        <v>1</v>
      </c>
      <c r="G20" s="9" t="s">
        <v>1</v>
      </c>
      <c r="H20" s="9" t="s">
        <v>1</v>
      </c>
      <c r="I20" s="9" t="s">
        <v>1</v>
      </c>
      <c r="J20" s="9" t="s">
        <v>1</v>
      </c>
      <c r="K20" s="9" t="s">
        <v>1</v>
      </c>
      <c r="L20" s="9" t="s">
        <v>1</v>
      </c>
      <c r="M20" s="9" t="s">
        <v>1</v>
      </c>
      <c r="N20" s="9" t="s">
        <v>1</v>
      </c>
      <c r="O20" s="9" t="s">
        <v>1</v>
      </c>
      <c r="P20" s="9" t="s">
        <v>1</v>
      </c>
      <c r="Q20" s="9">
        <v>25</v>
      </c>
    </row>
    <row r="21" spans="1:17" ht="27">
      <c r="A21" s="9" t="s">
        <v>29</v>
      </c>
      <c r="B21" s="9" t="s">
        <v>1</v>
      </c>
      <c r="C21" s="9" t="s">
        <v>1</v>
      </c>
      <c r="D21" s="9" t="s">
        <v>1</v>
      </c>
      <c r="E21" s="9" t="s">
        <v>1</v>
      </c>
      <c r="F21" s="9" t="s">
        <v>1</v>
      </c>
      <c r="G21" s="9" t="s">
        <v>1</v>
      </c>
      <c r="H21" s="9" t="s">
        <v>1</v>
      </c>
      <c r="I21" s="9" t="s">
        <v>1</v>
      </c>
      <c r="J21" s="9" t="s">
        <v>1</v>
      </c>
      <c r="K21" s="9" t="s">
        <v>1</v>
      </c>
      <c r="L21" s="9" t="s">
        <v>1</v>
      </c>
      <c r="M21" s="9" t="s">
        <v>1</v>
      </c>
      <c r="N21" s="9" t="s">
        <v>1</v>
      </c>
      <c r="O21" s="9" t="s">
        <v>1</v>
      </c>
      <c r="P21" s="9" t="s">
        <v>1</v>
      </c>
      <c r="Q21" s="9">
        <v>25</v>
      </c>
    </row>
    <row r="22" spans="1:17">
      <c r="A22" s="9" t="s">
        <v>30</v>
      </c>
      <c r="B22" s="9" t="s">
        <v>1</v>
      </c>
      <c r="C22" s="9" t="s">
        <v>1</v>
      </c>
      <c r="D22" s="9" t="s">
        <v>1</v>
      </c>
      <c r="E22" s="9" t="s">
        <v>1</v>
      </c>
      <c r="F22" s="9" t="s">
        <v>1</v>
      </c>
      <c r="G22" s="9" t="s">
        <v>1</v>
      </c>
      <c r="H22" s="9" t="s">
        <v>1</v>
      </c>
      <c r="I22" s="9" t="s">
        <v>1</v>
      </c>
      <c r="J22" s="9" t="s">
        <v>1</v>
      </c>
      <c r="K22" s="9" t="s">
        <v>1</v>
      </c>
      <c r="L22" s="9" t="s">
        <v>1</v>
      </c>
      <c r="M22" s="9" t="s">
        <v>1</v>
      </c>
      <c r="N22" s="9" t="s">
        <v>1</v>
      </c>
      <c r="O22" s="9" t="s">
        <v>1</v>
      </c>
      <c r="P22" s="9" t="s">
        <v>1</v>
      </c>
      <c r="Q22" s="9" t="s">
        <v>1</v>
      </c>
    </row>
    <row r="23" spans="1:17">
      <c r="A23" s="9" t="s">
        <v>31</v>
      </c>
      <c r="B23" s="9" t="s">
        <v>1</v>
      </c>
      <c r="C23" s="9">
        <v>63</v>
      </c>
      <c r="D23" s="9">
        <v>54</v>
      </c>
      <c r="E23" s="9">
        <v>36</v>
      </c>
      <c r="F23" s="9">
        <v>81</v>
      </c>
      <c r="G23" s="9">
        <v>191</v>
      </c>
      <c r="H23" s="9">
        <v>11</v>
      </c>
      <c r="I23" s="9">
        <v>45</v>
      </c>
      <c r="J23" s="9">
        <v>15</v>
      </c>
      <c r="K23" s="9" t="s">
        <v>1</v>
      </c>
      <c r="L23" s="9" t="s">
        <v>1</v>
      </c>
      <c r="M23" s="9" t="s">
        <v>1</v>
      </c>
      <c r="N23" s="9">
        <v>496</v>
      </c>
      <c r="O23" s="9" t="s">
        <v>324</v>
      </c>
      <c r="P23" s="9">
        <v>128</v>
      </c>
      <c r="Q23" s="9" t="s">
        <v>1</v>
      </c>
    </row>
    <row r="24" spans="1:17">
      <c r="A24" s="3"/>
      <c r="Q24" s="4"/>
    </row>
    <row r="25" spans="1:17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7"/>
    </row>
    <row r="26" spans="1:17" ht="18" customHeight="1">
      <c r="A26" s="180" t="s">
        <v>325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2"/>
    </row>
    <row r="27" spans="1:17" ht="21.75" customHeight="1">
      <c r="A27" s="8" t="s">
        <v>5</v>
      </c>
      <c r="B27" s="8" t="s">
        <v>6</v>
      </c>
      <c r="C27" s="8" t="s">
        <v>7</v>
      </c>
      <c r="D27" s="8" t="s">
        <v>8</v>
      </c>
      <c r="E27" s="8" t="s">
        <v>9</v>
      </c>
      <c r="F27" s="8" t="s">
        <v>10</v>
      </c>
      <c r="G27" s="8" t="s">
        <v>11</v>
      </c>
      <c r="H27" s="8" t="s">
        <v>12</v>
      </c>
      <c r="I27" s="8" t="s">
        <v>13</v>
      </c>
      <c r="J27" s="8" t="s">
        <v>14</v>
      </c>
      <c r="K27" s="8" t="s">
        <v>15</v>
      </c>
      <c r="L27" s="8" t="s">
        <v>16</v>
      </c>
      <c r="M27" s="8" t="s">
        <v>17</v>
      </c>
      <c r="N27" s="8" t="s">
        <v>18</v>
      </c>
      <c r="O27" s="8" t="s">
        <v>19</v>
      </c>
      <c r="P27" s="8" t="s">
        <v>20</v>
      </c>
      <c r="Q27" s="8" t="s">
        <v>21</v>
      </c>
    </row>
    <row r="28" spans="1:17">
      <c r="A28" s="8" t="s">
        <v>1</v>
      </c>
      <c r="B28" s="8" t="s">
        <v>22</v>
      </c>
      <c r="C28" s="8" t="s">
        <v>22</v>
      </c>
      <c r="D28" s="8" t="s">
        <v>22</v>
      </c>
      <c r="E28" s="8" t="s">
        <v>22</v>
      </c>
      <c r="F28" s="8" t="s">
        <v>22</v>
      </c>
      <c r="G28" s="8" t="s">
        <v>22</v>
      </c>
      <c r="H28" s="8" t="s">
        <v>22</v>
      </c>
      <c r="I28" s="8" t="s">
        <v>22</v>
      </c>
      <c r="J28" s="8" t="s">
        <v>22</v>
      </c>
      <c r="K28" s="8" t="s">
        <v>22</v>
      </c>
      <c r="L28" s="8" t="s">
        <v>22</v>
      </c>
      <c r="M28" s="8" t="s">
        <v>22</v>
      </c>
      <c r="N28" s="8" t="s">
        <v>22</v>
      </c>
      <c r="O28" s="8" t="s">
        <v>23</v>
      </c>
      <c r="P28" s="8" t="s">
        <v>24</v>
      </c>
      <c r="Q28" s="8" t="s">
        <v>25</v>
      </c>
    </row>
    <row r="29" spans="1:17">
      <c r="A29" s="9" t="s">
        <v>26</v>
      </c>
      <c r="B29" s="9" t="s">
        <v>1</v>
      </c>
      <c r="C29" s="9" t="s">
        <v>1</v>
      </c>
      <c r="D29" s="9">
        <v>138</v>
      </c>
      <c r="E29" s="9">
        <v>51</v>
      </c>
      <c r="F29" s="9" t="s">
        <v>1</v>
      </c>
      <c r="G29" s="9">
        <v>341</v>
      </c>
      <c r="H29" s="9">
        <v>54</v>
      </c>
      <c r="I29" s="9">
        <v>87</v>
      </c>
      <c r="J29" s="9">
        <v>158</v>
      </c>
      <c r="K29" s="9" t="s">
        <v>1</v>
      </c>
      <c r="L29" s="9" t="s">
        <v>1</v>
      </c>
      <c r="M29" s="9" t="s">
        <v>1</v>
      </c>
      <c r="N29" s="9">
        <v>829</v>
      </c>
      <c r="O29" s="9" t="s">
        <v>326</v>
      </c>
      <c r="P29" s="9">
        <v>119</v>
      </c>
      <c r="Q29" s="9">
        <v>25</v>
      </c>
    </row>
    <row r="30" spans="1:17">
      <c r="A30" s="9" t="s">
        <v>27</v>
      </c>
      <c r="B30" s="9" t="s">
        <v>1</v>
      </c>
      <c r="C30" s="9">
        <v>107</v>
      </c>
      <c r="D30" s="9">
        <v>35</v>
      </c>
      <c r="E30" s="9">
        <v>88</v>
      </c>
      <c r="F30" s="9">
        <v>114</v>
      </c>
      <c r="G30" s="9">
        <v>417</v>
      </c>
      <c r="H30" s="9">
        <v>121</v>
      </c>
      <c r="I30" s="9">
        <v>150</v>
      </c>
      <c r="J30" s="9">
        <v>38</v>
      </c>
      <c r="K30" s="9" t="s">
        <v>1</v>
      </c>
      <c r="L30" s="9" t="s">
        <v>1</v>
      </c>
      <c r="M30" s="9" t="s">
        <v>1</v>
      </c>
      <c r="N30" s="9">
        <v>1070</v>
      </c>
      <c r="O30" s="9" t="s">
        <v>327</v>
      </c>
      <c r="P30" s="9">
        <v>149</v>
      </c>
      <c r="Q30" s="9">
        <v>25</v>
      </c>
    </row>
    <row r="31" spans="1:17">
      <c r="A31" s="9" t="s">
        <v>28</v>
      </c>
      <c r="B31" s="9" t="s">
        <v>1</v>
      </c>
      <c r="C31" s="9" t="s">
        <v>1</v>
      </c>
      <c r="D31" s="9" t="s">
        <v>1</v>
      </c>
      <c r="E31" s="9" t="s">
        <v>1</v>
      </c>
      <c r="F31" s="9" t="s">
        <v>1</v>
      </c>
      <c r="G31" s="9" t="s">
        <v>1</v>
      </c>
      <c r="H31" s="9" t="s">
        <v>1</v>
      </c>
      <c r="I31" s="9" t="s">
        <v>1</v>
      </c>
      <c r="J31" s="9" t="s">
        <v>1</v>
      </c>
      <c r="K31" s="9" t="s">
        <v>1</v>
      </c>
      <c r="L31" s="9" t="s">
        <v>1</v>
      </c>
      <c r="M31" s="9" t="s">
        <v>1</v>
      </c>
      <c r="N31" s="9" t="s">
        <v>1</v>
      </c>
      <c r="O31" s="9" t="s">
        <v>328</v>
      </c>
      <c r="P31" s="9" t="s">
        <v>1</v>
      </c>
      <c r="Q31" s="9">
        <v>25</v>
      </c>
    </row>
    <row r="32" spans="1:17" ht="27">
      <c r="A32" s="9" t="s">
        <v>29</v>
      </c>
      <c r="B32" s="9" t="s">
        <v>1</v>
      </c>
      <c r="C32" s="9" t="s">
        <v>1</v>
      </c>
      <c r="D32" s="9" t="s">
        <v>1</v>
      </c>
      <c r="E32" s="9" t="s">
        <v>1</v>
      </c>
      <c r="F32" s="9" t="s">
        <v>1</v>
      </c>
      <c r="G32" s="9" t="s">
        <v>1</v>
      </c>
      <c r="H32" s="9" t="s">
        <v>1</v>
      </c>
      <c r="I32" s="9" t="s">
        <v>1</v>
      </c>
      <c r="J32" s="9" t="s">
        <v>1</v>
      </c>
      <c r="K32" s="9" t="s">
        <v>1</v>
      </c>
      <c r="L32" s="9" t="s">
        <v>1</v>
      </c>
      <c r="M32" s="9" t="s">
        <v>1</v>
      </c>
      <c r="N32" s="9" t="s">
        <v>1</v>
      </c>
      <c r="O32" s="9" t="s">
        <v>1</v>
      </c>
      <c r="P32" s="9" t="s">
        <v>1</v>
      </c>
      <c r="Q32" s="9">
        <v>25</v>
      </c>
    </row>
    <row r="33" spans="1:17">
      <c r="A33" s="9" t="s">
        <v>30</v>
      </c>
      <c r="B33" s="9" t="s">
        <v>1</v>
      </c>
      <c r="C33" s="9" t="s">
        <v>1</v>
      </c>
      <c r="D33" s="9" t="s">
        <v>1</v>
      </c>
      <c r="E33" s="9" t="s">
        <v>1</v>
      </c>
      <c r="F33" s="9" t="s">
        <v>1</v>
      </c>
      <c r="G33" s="9" t="s">
        <v>1</v>
      </c>
      <c r="H33" s="9" t="s">
        <v>1</v>
      </c>
      <c r="I33" s="9" t="s">
        <v>1</v>
      </c>
      <c r="J33" s="9" t="s">
        <v>1</v>
      </c>
      <c r="K33" s="9" t="s">
        <v>1</v>
      </c>
      <c r="L33" s="9" t="s">
        <v>1</v>
      </c>
      <c r="M33" s="9" t="s">
        <v>1</v>
      </c>
      <c r="N33" s="9" t="s">
        <v>1</v>
      </c>
      <c r="O33" s="9" t="s">
        <v>1</v>
      </c>
      <c r="P33" s="9" t="s">
        <v>1</v>
      </c>
      <c r="Q33" s="9" t="s">
        <v>1</v>
      </c>
    </row>
    <row r="34" spans="1:17">
      <c r="A34" s="9" t="s">
        <v>31</v>
      </c>
      <c r="B34" s="9" t="s">
        <v>1</v>
      </c>
      <c r="C34" s="9">
        <v>107</v>
      </c>
      <c r="D34" s="9">
        <v>173</v>
      </c>
      <c r="E34" s="9">
        <v>139</v>
      </c>
      <c r="F34" s="9">
        <v>114</v>
      </c>
      <c r="G34" s="9">
        <v>758</v>
      </c>
      <c r="H34" s="9">
        <v>175</v>
      </c>
      <c r="I34" s="9">
        <v>237</v>
      </c>
      <c r="J34" s="9">
        <v>196</v>
      </c>
      <c r="K34" s="9" t="s">
        <v>1</v>
      </c>
      <c r="L34" s="9" t="s">
        <v>1</v>
      </c>
      <c r="M34" s="9" t="s">
        <v>1</v>
      </c>
      <c r="N34" s="9">
        <v>1899</v>
      </c>
      <c r="O34" s="9" t="s">
        <v>17</v>
      </c>
      <c r="P34" s="9">
        <v>268</v>
      </c>
      <c r="Q34" s="9" t="s">
        <v>1</v>
      </c>
    </row>
    <row r="35" spans="1:17">
      <c r="A35" s="5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7"/>
    </row>
    <row r="36" spans="1:17">
      <c r="A36" s="2"/>
    </row>
    <row r="37" spans="1:17" ht="18" customHeight="1">
      <c r="A37" s="180" t="s">
        <v>32</v>
      </c>
      <c r="B37" s="181"/>
      <c r="C37" s="181"/>
      <c r="D37" s="181"/>
      <c r="E37" s="181"/>
      <c r="F37" s="181"/>
      <c r="G37" s="181"/>
      <c r="H37" s="181"/>
      <c r="I37" s="181"/>
      <c r="J37" s="181"/>
      <c r="K37" s="181"/>
      <c r="L37" s="181"/>
      <c r="M37" s="181"/>
      <c r="N37" s="181"/>
      <c r="O37" s="181"/>
      <c r="P37" s="181"/>
      <c r="Q37" s="182"/>
    </row>
    <row r="38" spans="1:17" ht="24" customHeight="1">
      <c r="A38" s="8" t="s">
        <v>5</v>
      </c>
      <c r="B38" s="8" t="s">
        <v>6</v>
      </c>
      <c r="C38" s="8" t="s">
        <v>7</v>
      </c>
      <c r="D38" s="8" t="s">
        <v>8</v>
      </c>
      <c r="E38" s="8" t="s">
        <v>9</v>
      </c>
      <c r="F38" s="8" t="s">
        <v>10</v>
      </c>
      <c r="G38" s="8" t="s">
        <v>11</v>
      </c>
      <c r="H38" s="8" t="s">
        <v>12</v>
      </c>
      <c r="I38" s="8" t="s">
        <v>13</v>
      </c>
      <c r="J38" s="8" t="s">
        <v>14</v>
      </c>
      <c r="K38" s="8" t="s">
        <v>15</v>
      </c>
      <c r="L38" s="8" t="s">
        <v>16</v>
      </c>
      <c r="M38" s="8" t="s">
        <v>17</v>
      </c>
      <c r="N38" s="8" t="s">
        <v>18</v>
      </c>
      <c r="O38" s="8" t="s">
        <v>19</v>
      </c>
      <c r="P38" s="8" t="s">
        <v>20</v>
      </c>
      <c r="Q38" s="8" t="s">
        <v>21</v>
      </c>
    </row>
    <row r="39" spans="1:17">
      <c r="A39" s="8" t="s">
        <v>1</v>
      </c>
      <c r="B39" s="8" t="s">
        <v>22</v>
      </c>
      <c r="C39" s="8" t="s">
        <v>22</v>
      </c>
      <c r="D39" s="8" t="s">
        <v>22</v>
      </c>
      <c r="E39" s="8" t="s">
        <v>22</v>
      </c>
      <c r="F39" s="8" t="s">
        <v>22</v>
      </c>
      <c r="G39" s="8" t="s">
        <v>22</v>
      </c>
      <c r="H39" s="8" t="s">
        <v>22</v>
      </c>
      <c r="I39" s="8" t="s">
        <v>22</v>
      </c>
      <c r="J39" s="8" t="s">
        <v>22</v>
      </c>
      <c r="K39" s="8" t="s">
        <v>22</v>
      </c>
      <c r="L39" s="8" t="s">
        <v>22</v>
      </c>
      <c r="M39" s="8" t="s">
        <v>22</v>
      </c>
      <c r="N39" s="8" t="s">
        <v>22</v>
      </c>
      <c r="O39" s="8" t="s">
        <v>23</v>
      </c>
      <c r="P39" s="8" t="s">
        <v>24</v>
      </c>
      <c r="Q39" s="8" t="s">
        <v>25</v>
      </c>
    </row>
    <row r="40" spans="1:17">
      <c r="A40" s="9" t="s">
        <v>26</v>
      </c>
      <c r="B40" s="9" t="s">
        <v>1</v>
      </c>
      <c r="C40" s="9" t="s">
        <v>1</v>
      </c>
      <c r="D40" s="9" t="s">
        <v>1</v>
      </c>
      <c r="E40" s="9" t="s">
        <v>1</v>
      </c>
      <c r="F40" s="9" t="s">
        <v>1</v>
      </c>
      <c r="G40" s="9" t="s">
        <v>1</v>
      </c>
      <c r="H40" s="9" t="s">
        <v>1</v>
      </c>
      <c r="I40" s="9" t="s">
        <v>1</v>
      </c>
      <c r="J40" s="9" t="s">
        <v>1</v>
      </c>
      <c r="K40" s="9" t="s">
        <v>1</v>
      </c>
      <c r="L40" s="9" t="s">
        <v>1</v>
      </c>
      <c r="M40" s="9" t="s">
        <v>1</v>
      </c>
      <c r="N40" s="9" t="s">
        <v>1</v>
      </c>
      <c r="O40" s="9" t="s">
        <v>1</v>
      </c>
      <c r="P40" s="9" t="s">
        <v>1</v>
      </c>
      <c r="Q40" s="9">
        <v>25</v>
      </c>
    </row>
    <row r="41" spans="1:17">
      <c r="A41" s="9" t="s">
        <v>27</v>
      </c>
      <c r="B41" s="9" t="s">
        <v>1</v>
      </c>
      <c r="C41" s="9">
        <v>125</v>
      </c>
      <c r="D41" s="9">
        <v>10</v>
      </c>
      <c r="E41" s="9">
        <v>15</v>
      </c>
      <c r="F41" s="9">
        <v>277</v>
      </c>
      <c r="G41" s="9">
        <v>139</v>
      </c>
      <c r="H41" s="9">
        <v>13</v>
      </c>
      <c r="I41" s="9" t="s">
        <v>1</v>
      </c>
      <c r="J41" s="9" t="s">
        <v>1</v>
      </c>
      <c r="K41" s="9" t="s">
        <v>1</v>
      </c>
      <c r="L41" s="9" t="s">
        <v>1</v>
      </c>
      <c r="M41" s="9" t="s">
        <v>1</v>
      </c>
      <c r="N41" s="9">
        <v>579</v>
      </c>
      <c r="O41" s="9" t="s">
        <v>329</v>
      </c>
      <c r="P41" s="9">
        <v>161</v>
      </c>
      <c r="Q41" s="9">
        <v>25</v>
      </c>
    </row>
    <row r="42" spans="1:17">
      <c r="A42" s="9" t="s">
        <v>28</v>
      </c>
      <c r="B42" s="9" t="s">
        <v>1</v>
      </c>
      <c r="C42" s="9" t="s">
        <v>1</v>
      </c>
      <c r="D42" s="9" t="s">
        <v>1</v>
      </c>
      <c r="E42" s="9" t="s">
        <v>1</v>
      </c>
      <c r="F42" s="9" t="s">
        <v>1</v>
      </c>
      <c r="G42" s="9" t="s">
        <v>1</v>
      </c>
      <c r="H42" s="9" t="s">
        <v>1</v>
      </c>
      <c r="I42" s="9" t="s">
        <v>1</v>
      </c>
      <c r="J42" s="9" t="s">
        <v>1</v>
      </c>
      <c r="K42" s="9" t="s">
        <v>1</v>
      </c>
      <c r="L42" s="9" t="s">
        <v>1</v>
      </c>
      <c r="M42" s="9" t="s">
        <v>1</v>
      </c>
      <c r="N42" s="9" t="s">
        <v>1</v>
      </c>
      <c r="O42" s="9" t="s">
        <v>1</v>
      </c>
      <c r="P42" s="9" t="s">
        <v>1</v>
      </c>
      <c r="Q42" s="9">
        <v>25</v>
      </c>
    </row>
    <row r="43" spans="1:17" ht="27">
      <c r="A43" s="9" t="s">
        <v>29</v>
      </c>
      <c r="B43" s="9" t="s">
        <v>1</v>
      </c>
      <c r="C43" s="9" t="s">
        <v>1</v>
      </c>
      <c r="D43" s="9">
        <v>66</v>
      </c>
      <c r="E43" s="9">
        <v>113</v>
      </c>
      <c r="F43" s="9">
        <v>69</v>
      </c>
      <c r="G43" s="9">
        <v>90</v>
      </c>
      <c r="H43" s="9">
        <v>76</v>
      </c>
      <c r="I43" s="9" t="s">
        <v>1</v>
      </c>
      <c r="J43" s="9" t="s">
        <v>1</v>
      </c>
      <c r="K43" s="9" t="s">
        <v>1</v>
      </c>
      <c r="L43" s="9" t="s">
        <v>1</v>
      </c>
      <c r="M43" s="9" t="s">
        <v>1</v>
      </c>
      <c r="N43" s="9">
        <v>414</v>
      </c>
      <c r="O43" s="9" t="s">
        <v>330</v>
      </c>
      <c r="P43" s="9">
        <v>55</v>
      </c>
      <c r="Q43" s="9">
        <v>25</v>
      </c>
    </row>
    <row r="44" spans="1:17">
      <c r="A44" s="9" t="s">
        <v>30</v>
      </c>
      <c r="B44" s="9" t="s">
        <v>1</v>
      </c>
      <c r="C44" s="9" t="s">
        <v>1</v>
      </c>
      <c r="D44" s="9" t="s">
        <v>1</v>
      </c>
      <c r="E44" s="9" t="s">
        <v>1</v>
      </c>
      <c r="F44" s="9" t="s">
        <v>1</v>
      </c>
      <c r="G44" s="9" t="s">
        <v>1</v>
      </c>
      <c r="H44" s="9" t="s">
        <v>1</v>
      </c>
      <c r="I44" s="9" t="s">
        <v>1</v>
      </c>
      <c r="J44" s="9" t="s">
        <v>1</v>
      </c>
      <c r="K44" s="9" t="s">
        <v>1</v>
      </c>
      <c r="L44" s="9" t="s">
        <v>1</v>
      </c>
      <c r="M44" s="9" t="s">
        <v>1</v>
      </c>
      <c r="N44" s="9" t="s">
        <v>1</v>
      </c>
      <c r="O44" s="9" t="s">
        <v>1</v>
      </c>
      <c r="P44" s="9" t="s">
        <v>1</v>
      </c>
      <c r="Q44" s="9" t="s">
        <v>1</v>
      </c>
    </row>
    <row r="45" spans="1:17">
      <c r="A45" s="9" t="s">
        <v>31</v>
      </c>
      <c r="B45" s="9" t="s">
        <v>1</v>
      </c>
      <c r="C45" s="9">
        <v>125</v>
      </c>
      <c r="D45" s="9">
        <v>76</v>
      </c>
      <c r="E45" s="9">
        <v>128</v>
      </c>
      <c r="F45" s="9">
        <v>346</v>
      </c>
      <c r="G45" s="9">
        <v>229</v>
      </c>
      <c r="H45" s="9">
        <v>89</v>
      </c>
      <c r="I45" s="9" t="s">
        <v>1</v>
      </c>
      <c r="J45" s="9" t="s">
        <v>1</v>
      </c>
      <c r="K45" s="9" t="s">
        <v>1</v>
      </c>
      <c r="L45" s="9" t="s">
        <v>1</v>
      </c>
      <c r="M45" s="9" t="s">
        <v>1</v>
      </c>
      <c r="N45" s="9">
        <v>993</v>
      </c>
      <c r="O45" s="9" t="s">
        <v>331</v>
      </c>
      <c r="P45" s="9">
        <v>216</v>
      </c>
      <c r="Q45" s="7"/>
    </row>
    <row r="49" spans="2:15">
      <c r="B49" t="s">
        <v>366</v>
      </c>
    </row>
    <row r="50" spans="2:15">
      <c r="B50" t="s">
        <v>332</v>
      </c>
      <c r="K50" t="s">
        <v>476</v>
      </c>
    </row>
    <row r="51" spans="2:15">
      <c r="B51" t="s">
        <v>333</v>
      </c>
    </row>
    <row r="52" spans="2:15">
      <c r="B52" t="s">
        <v>334</v>
      </c>
      <c r="K52">
        <v>1.3</v>
      </c>
      <c r="L52">
        <v>4</v>
      </c>
      <c r="M52">
        <v>0.5</v>
      </c>
      <c r="N52">
        <v>2</v>
      </c>
      <c r="O52">
        <f>N52*M52*L52*K52</f>
        <v>5.2</v>
      </c>
    </row>
    <row r="53" spans="2:15">
      <c r="B53" t="s">
        <v>335</v>
      </c>
      <c r="K53">
        <v>1.3</v>
      </c>
      <c r="L53">
        <v>3</v>
      </c>
      <c r="M53">
        <v>0.6</v>
      </c>
      <c r="N53">
        <v>7</v>
      </c>
      <c r="O53">
        <f t="shared" ref="O53:O56" si="0">N53*M53*L53*K53</f>
        <v>16.380000000000003</v>
      </c>
    </row>
    <row r="54" spans="2:15" hidden="1">
      <c r="B54" t="s">
        <v>336</v>
      </c>
      <c r="K54">
        <f>0.8</f>
        <v>0.8</v>
      </c>
      <c r="L54">
        <v>1</v>
      </c>
      <c r="M54">
        <v>0.5</v>
      </c>
      <c r="N54">
        <v>14</v>
      </c>
      <c r="O54">
        <f t="shared" si="0"/>
        <v>5.6000000000000005</v>
      </c>
    </row>
    <row r="55" spans="2:15" hidden="1">
      <c r="B55" t="s">
        <v>337</v>
      </c>
      <c r="K55">
        <v>1.2</v>
      </c>
      <c r="L55">
        <v>2</v>
      </c>
      <c r="M55">
        <v>0.5</v>
      </c>
      <c r="N55">
        <v>14</v>
      </c>
      <c r="O55">
        <f t="shared" si="0"/>
        <v>16.8</v>
      </c>
    </row>
    <row r="56" spans="2:15" hidden="1">
      <c r="B56" t="s">
        <v>338</v>
      </c>
      <c r="K56">
        <v>0.4</v>
      </c>
      <c r="L56">
        <v>4</v>
      </c>
      <c r="M56">
        <v>0.4</v>
      </c>
      <c r="N56">
        <v>17</v>
      </c>
      <c r="O56">
        <f t="shared" si="0"/>
        <v>10.880000000000003</v>
      </c>
    </row>
    <row r="57" spans="2:15" hidden="1">
      <c r="B57" t="s">
        <v>339</v>
      </c>
    </row>
    <row r="58" spans="2:15" hidden="1">
      <c r="B58" t="s">
        <v>340</v>
      </c>
      <c r="O58">
        <f>SUM(O52:O57)</f>
        <v>54.860000000000007</v>
      </c>
    </row>
    <row r="59" spans="2:15" hidden="1">
      <c r="B59" t="s">
        <v>341</v>
      </c>
    </row>
    <row r="60" spans="2:15" hidden="1">
      <c r="B60" t="s">
        <v>342</v>
      </c>
    </row>
    <row r="61" spans="2:15" hidden="1">
      <c r="B61" t="s">
        <v>343</v>
      </c>
    </row>
    <row r="62" spans="2:15" hidden="1">
      <c r="B62" t="s">
        <v>344</v>
      </c>
    </row>
    <row r="63" spans="2:15" hidden="1">
      <c r="B63" t="s">
        <v>345</v>
      </c>
    </row>
    <row r="64" spans="2:15" hidden="1">
      <c r="B64" t="s">
        <v>346</v>
      </c>
    </row>
    <row r="65" spans="2:2" hidden="1">
      <c r="B65" t="s">
        <v>347</v>
      </c>
    </row>
    <row r="66" spans="2:2" hidden="1">
      <c r="B66" t="s">
        <v>348</v>
      </c>
    </row>
    <row r="67" spans="2:2" hidden="1">
      <c r="B67" t="s">
        <v>349</v>
      </c>
    </row>
    <row r="68" spans="2:2" hidden="1">
      <c r="B68" t="s">
        <v>350</v>
      </c>
    </row>
    <row r="69" spans="2:2" hidden="1">
      <c r="B69" t="s">
        <v>351</v>
      </c>
    </row>
    <row r="70" spans="2:2" hidden="1">
      <c r="B70" t="s">
        <v>352</v>
      </c>
    </row>
    <row r="71" spans="2:2" hidden="1">
      <c r="B71" t="s">
        <v>353</v>
      </c>
    </row>
    <row r="72" spans="2:2" hidden="1">
      <c r="B72" t="s">
        <v>354</v>
      </c>
    </row>
    <row r="73" spans="2:2" hidden="1">
      <c r="B73" t="s">
        <v>355</v>
      </c>
    </row>
    <row r="74" spans="2:2" hidden="1">
      <c r="B74" t="s">
        <v>356</v>
      </c>
    </row>
    <row r="75" spans="2:2" hidden="1">
      <c r="B75" t="s">
        <v>357</v>
      </c>
    </row>
    <row r="76" spans="2:2" hidden="1">
      <c r="B76" t="s">
        <v>358</v>
      </c>
    </row>
    <row r="77" spans="2:2" hidden="1">
      <c r="B77" t="s">
        <v>359</v>
      </c>
    </row>
    <row r="78" spans="2:2">
      <c r="B78" t="s">
        <v>360</v>
      </c>
    </row>
    <row r="79" spans="2:2">
      <c r="B79" t="s">
        <v>361</v>
      </c>
    </row>
    <row r="80" spans="2:2">
      <c r="B80" t="s">
        <v>362</v>
      </c>
    </row>
    <row r="81" spans="2:9">
      <c r="B81" t="s">
        <v>363</v>
      </c>
    </row>
    <row r="83" spans="2:9">
      <c r="B83" t="s">
        <v>364</v>
      </c>
    </row>
    <row r="84" spans="2:9">
      <c r="B84" t="s">
        <v>365</v>
      </c>
      <c r="I84">
        <f>161*0.8</f>
        <v>128.80000000000001</v>
      </c>
    </row>
    <row r="86" spans="2:9">
      <c r="B86" t="s">
        <v>3</v>
      </c>
    </row>
    <row r="87" spans="2:9">
      <c r="B87" t="s">
        <v>332</v>
      </c>
    </row>
    <row r="88" spans="2:9">
      <c r="B88" t="s">
        <v>333</v>
      </c>
    </row>
    <row r="89" spans="2:9">
      <c r="B89" t="s">
        <v>334</v>
      </c>
    </row>
    <row r="90" spans="2:9">
      <c r="B90" t="s">
        <v>367</v>
      </c>
    </row>
    <row r="91" spans="2:9">
      <c r="B91" t="s">
        <v>368</v>
      </c>
    </row>
    <row r="92" spans="2:9">
      <c r="B92" t="s">
        <v>369</v>
      </c>
    </row>
    <row r="93" spans="2:9">
      <c r="B93" t="s">
        <v>370</v>
      </c>
    </row>
    <row r="94" spans="2:9">
      <c r="B94" t="s">
        <v>371</v>
      </c>
    </row>
    <row r="95" spans="2:9">
      <c r="B95" t="s">
        <v>372</v>
      </c>
    </row>
    <row r="96" spans="2:9">
      <c r="B96" t="s">
        <v>373</v>
      </c>
    </row>
    <row r="97" spans="2:2">
      <c r="B97" t="s">
        <v>374</v>
      </c>
    </row>
    <row r="98" spans="2:2">
      <c r="B98" t="s">
        <v>375</v>
      </c>
    </row>
    <row r="99" spans="2:2">
      <c r="B99" t="s">
        <v>376</v>
      </c>
    </row>
    <row r="100" spans="2:2">
      <c r="B100" t="s">
        <v>377</v>
      </c>
    </row>
    <row r="101" spans="2:2">
      <c r="B101" t="s">
        <v>378</v>
      </c>
    </row>
    <row r="102" spans="2:2">
      <c r="B102" t="s">
        <v>379</v>
      </c>
    </row>
    <row r="103" spans="2:2">
      <c r="B103" t="s">
        <v>380</v>
      </c>
    </row>
    <row r="104" spans="2:2">
      <c r="B104" t="s">
        <v>381</v>
      </c>
    </row>
    <row r="105" spans="2:2">
      <c r="B105" t="s">
        <v>382</v>
      </c>
    </row>
    <row r="106" spans="2:2">
      <c r="B106" t="s">
        <v>383</v>
      </c>
    </row>
    <row r="107" spans="2:2">
      <c r="B107" t="s">
        <v>384</v>
      </c>
    </row>
    <row r="108" spans="2:2">
      <c r="B108" t="s">
        <v>362</v>
      </c>
    </row>
    <row r="109" spans="2:2">
      <c r="B109" t="s">
        <v>385</v>
      </c>
    </row>
    <row r="111" spans="2:2">
      <c r="B111" t="s">
        <v>386</v>
      </c>
    </row>
    <row r="112" spans="2:2">
      <c r="B112" t="s">
        <v>387</v>
      </c>
    </row>
    <row r="113" spans="2:2">
      <c r="B113" t="s">
        <v>388</v>
      </c>
    </row>
    <row r="114" spans="2:2">
      <c r="B114" t="s">
        <v>389</v>
      </c>
    </row>
    <row r="115" spans="2:2">
      <c r="B115" t="s">
        <v>390</v>
      </c>
    </row>
    <row r="116" spans="2:2">
      <c r="B116" t="s">
        <v>391</v>
      </c>
    </row>
    <row r="117" spans="2:2">
      <c r="B117" t="s">
        <v>392</v>
      </c>
    </row>
    <row r="118" spans="2:2">
      <c r="B118" t="s">
        <v>393</v>
      </c>
    </row>
    <row r="119" spans="2:2">
      <c r="B119" t="s">
        <v>394</v>
      </c>
    </row>
    <row r="120" spans="2:2">
      <c r="B120" t="s">
        <v>395</v>
      </c>
    </row>
    <row r="121" spans="2:2">
      <c r="B121" t="s">
        <v>396</v>
      </c>
    </row>
    <row r="122" spans="2:2">
      <c r="B122" t="s">
        <v>397</v>
      </c>
    </row>
    <row r="123" spans="2:2">
      <c r="B123" t="s">
        <v>398</v>
      </c>
    </row>
    <row r="124" spans="2:2">
      <c r="B124" t="s">
        <v>399</v>
      </c>
    </row>
    <row r="125" spans="2:2">
      <c r="B125" t="s">
        <v>400</v>
      </c>
    </row>
    <row r="126" spans="2:2">
      <c r="B126" t="s">
        <v>401</v>
      </c>
    </row>
    <row r="127" spans="2:2">
      <c r="B127" t="s">
        <v>402</v>
      </c>
    </row>
    <row r="128" spans="2:2">
      <c r="B128" t="s">
        <v>403</v>
      </c>
    </row>
    <row r="129" spans="2:2">
      <c r="B129" t="s">
        <v>404</v>
      </c>
    </row>
    <row r="130" spans="2:2">
      <c r="B130" t="s">
        <v>405</v>
      </c>
    </row>
    <row r="131" spans="2:2">
      <c r="B131" t="s">
        <v>406</v>
      </c>
    </row>
    <row r="132" spans="2:2">
      <c r="B132" t="s">
        <v>407</v>
      </c>
    </row>
    <row r="133" spans="2:2">
      <c r="B133" t="s">
        <v>408</v>
      </c>
    </row>
    <row r="134" spans="2:2">
      <c r="B134" t="s">
        <v>409</v>
      </c>
    </row>
    <row r="135" spans="2:2">
      <c r="B135" t="s">
        <v>410</v>
      </c>
    </row>
    <row r="136" spans="2:2">
      <c r="B136" t="s">
        <v>411</v>
      </c>
    </row>
    <row r="137" spans="2:2">
      <c r="B137" t="s">
        <v>412</v>
      </c>
    </row>
    <row r="138" spans="2:2">
      <c r="B138" t="s">
        <v>413</v>
      </c>
    </row>
    <row r="139" spans="2:2">
      <c r="B139" t="s">
        <v>414</v>
      </c>
    </row>
    <row r="140" spans="2:2">
      <c r="B140" t="s">
        <v>415</v>
      </c>
    </row>
    <row r="141" spans="2:2">
      <c r="B141" t="s">
        <v>416</v>
      </c>
    </row>
    <row r="142" spans="2:2">
      <c r="B142" t="s">
        <v>417</v>
      </c>
    </row>
    <row r="143" spans="2:2">
      <c r="B143" t="s">
        <v>418</v>
      </c>
    </row>
    <row r="144" spans="2:2">
      <c r="B144" t="s">
        <v>419</v>
      </c>
    </row>
    <row r="145" spans="2:2">
      <c r="B145" t="s">
        <v>420</v>
      </c>
    </row>
    <row r="146" spans="2:2">
      <c r="B146" t="s">
        <v>421</v>
      </c>
    </row>
    <row r="147" spans="2:2">
      <c r="B147" t="s">
        <v>422</v>
      </c>
    </row>
    <row r="148" spans="2:2">
      <c r="B148" t="s">
        <v>423</v>
      </c>
    </row>
    <row r="149" spans="2:2">
      <c r="B149" t="s">
        <v>424</v>
      </c>
    </row>
    <row r="150" spans="2:2">
      <c r="B150" t="s">
        <v>425</v>
      </c>
    </row>
    <row r="151" spans="2:2">
      <c r="B151" t="s">
        <v>426</v>
      </c>
    </row>
    <row r="152" spans="2:2">
      <c r="B152" t="s">
        <v>427</v>
      </c>
    </row>
    <row r="153" spans="2:2">
      <c r="B153" t="s">
        <v>428</v>
      </c>
    </row>
    <row r="154" spans="2:2">
      <c r="B154" t="s">
        <v>429</v>
      </c>
    </row>
    <row r="156" spans="2:2">
      <c r="B156" t="s">
        <v>430</v>
      </c>
    </row>
    <row r="157" spans="2:2">
      <c r="B157" t="s">
        <v>431</v>
      </c>
    </row>
    <row r="158" spans="2:2">
      <c r="B158" t="s">
        <v>432</v>
      </c>
    </row>
    <row r="159" spans="2:2">
      <c r="B159" t="s">
        <v>433</v>
      </c>
    </row>
    <row r="160" spans="2:2">
      <c r="B160" t="s">
        <v>434</v>
      </c>
    </row>
    <row r="161" spans="2:2">
      <c r="B161" t="s">
        <v>435</v>
      </c>
    </row>
    <row r="162" spans="2:2">
      <c r="B162" t="s">
        <v>436</v>
      </c>
    </row>
    <row r="163" spans="2:2">
      <c r="B163" t="s">
        <v>437</v>
      </c>
    </row>
    <row r="164" spans="2:2">
      <c r="B164" t="s">
        <v>438</v>
      </c>
    </row>
    <row r="165" spans="2:2">
      <c r="B165" t="s">
        <v>439</v>
      </c>
    </row>
    <row r="166" spans="2:2">
      <c r="B166" t="s">
        <v>440</v>
      </c>
    </row>
    <row r="167" spans="2:2">
      <c r="B167" t="s">
        <v>441</v>
      </c>
    </row>
    <row r="168" spans="2:2">
      <c r="B168" t="s">
        <v>442</v>
      </c>
    </row>
    <row r="169" spans="2:2">
      <c r="B169" t="s">
        <v>443</v>
      </c>
    </row>
    <row r="170" spans="2:2">
      <c r="B170" t="s">
        <v>364</v>
      </c>
    </row>
    <row r="171" spans="2:2">
      <c r="B171" t="s">
        <v>444</v>
      </c>
    </row>
    <row r="173" spans="2:2">
      <c r="B173" t="s">
        <v>364</v>
      </c>
    </row>
    <row r="174" spans="2:2">
      <c r="B174" t="s">
        <v>445</v>
      </c>
    </row>
    <row r="176" spans="2:2">
      <c r="B176" t="s">
        <v>446</v>
      </c>
    </row>
    <row r="178" spans="2:2">
      <c r="B178" t="s">
        <v>2</v>
      </c>
    </row>
    <row r="179" spans="2:2">
      <c r="B179" t="s">
        <v>332</v>
      </c>
    </row>
    <row r="180" spans="2:2">
      <c r="B180" t="s">
        <v>333</v>
      </c>
    </row>
    <row r="181" spans="2:2">
      <c r="B181" t="s">
        <v>334</v>
      </c>
    </row>
    <row r="182" spans="2:2">
      <c r="B182" t="s">
        <v>447</v>
      </c>
    </row>
    <row r="183" spans="2:2">
      <c r="B183" t="s">
        <v>448</v>
      </c>
    </row>
    <row r="184" spans="2:2">
      <c r="B184" t="s">
        <v>449</v>
      </c>
    </row>
    <row r="185" spans="2:2">
      <c r="B185" t="s">
        <v>450</v>
      </c>
    </row>
    <row r="186" spans="2:2">
      <c r="B186" t="s">
        <v>451</v>
      </c>
    </row>
    <row r="187" spans="2:2">
      <c r="B187" t="s">
        <v>452</v>
      </c>
    </row>
    <row r="188" spans="2:2">
      <c r="B188" t="s">
        <v>453</v>
      </c>
    </row>
    <row r="189" spans="2:2">
      <c r="B189" t="s">
        <v>454</v>
      </c>
    </row>
    <row r="190" spans="2:2">
      <c r="B190" t="s">
        <v>362</v>
      </c>
    </row>
    <row r="191" spans="2:2">
      <c r="B191" t="s">
        <v>455</v>
      </c>
    </row>
    <row r="193" spans="2:2">
      <c r="B193" t="s">
        <v>386</v>
      </c>
    </row>
    <row r="194" spans="2:2">
      <c r="B194" t="s">
        <v>387</v>
      </c>
    </row>
    <row r="195" spans="2:2">
      <c r="B195" t="s">
        <v>456</v>
      </c>
    </row>
    <row r="196" spans="2:2">
      <c r="B196" t="s">
        <v>389</v>
      </c>
    </row>
    <row r="197" spans="2:2">
      <c r="B197" t="s">
        <v>390</v>
      </c>
    </row>
    <row r="198" spans="2:2">
      <c r="B198" t="s">
        <v>391</v>
      </c>
    </row>
    <row r="199" spans="2:2">
      <c r="B199" t="s">
        <v>392</v>
      </c>
    </row>
    <row r="200" spans="2:2">
      <c r="B200" t="s">
        <v>393</v>
      </c>
    </row>
    <row r="201" spans="2:2">
      <c r="B201" t="s">
        <v>395</v>
      </c>
    </row>
    <row r="202" spans="2:2">
      <c r="B202" t="s">
        <v>399</v>
      </c>
    </row>
    <row r="203" spans="2:2">
      <c r="B203" t="s">
        <v>400</v>
      </c>
    </row>
    <row r="204" spans="2:2">
      <c r="B204" t="s">
        <v>402</v>
      </c>
    </row>
    <row r="205" spans="2:2">
      <c r="B205" t="s">
        <v>457</v>
      </c>
    </row>
    <row r="206" spans="2:2">
      <c r="B206" t="s">
        <v>404</v>
      </c>
    </row>
    <row r="207" spans="2:2">
      <c r="B207" t="s">
        <v>405</v>
      </c>
    </row>
    <row r="208" spans="2:2">
      <c r="B208" t="s">
        <v>406</v>
      </c>
    </row>
    <row r="209" spans="2:2">
      <c r="B209" t="s">
        <v>407</v>
      </c>
    </row>
    <row r="210" spans="2:2">
      <c r="B210" t="s">
        <v>458</v>
      </c>
    </row>
    <row r="211" spans="2:2">
      <c r="B211" t="s">
        <v>410</v>
      </c>
    </row>
    <row r="212" spans="2:2">
      <c r="B212" t="s">
        <v>411</v>
      </c>
    </row>
    <row r="213" spans="2:2">
      <c r="B213" t="s">
        <v>412</v>
      </c>
    </row>
    <row r="214" spans="2:2">
      <c r="B214" t="s">
        <v>459</v>
      </c>
    </row>
    <row r="215" spans="2:2">
      <c r="B215" t="s">
        <v>428</v>
      </c>
    </row>
    <row r="216" spans="2:2">
      <c r="B216" t="s">
        <v>460</v>
      </c>
    </row>
    <row r="218" spans="2:2">
      <c r="B218" t="s">
        <v>364</v>
      </c>
    </row>
    <row r="219" spans="2:2">
      <c r="B219" t="s">
        <v>461</v>
      </c>
    </row>
    <row r="222" spans="2:2">
      <c r="B222" t="s">
        <v>462</v>
      </c>
    </row>
    <row r="223" spans="2:2">
      <c r="B223" t="s">
        <v>332</v>
      </c>
    </row>
    <row r="224" spans="2:2">
      <c r="B224" t="s">
        <v>333</v>
      </c>
    </row>
    <row r="225" spans="2:2">
      <c r="B225" t="s">
        <v>334</v>
      </c>
    </row>
    <row r="226" spans="2:2">
      <c r="B226" t="s">
        <v>463</v>
      </c>
    </row>
    <row r="227" spans="2:2">
      <c r="B227" t="s">
        <v>464</v>
      </c>
    </row>
    <row r="228" spans="2:2">
      <c r="B228" t="s">
        <v>465</v>
      </c>
    </row>
    <row r="229" spans="2:2">
      <c r="B229" t="s">
        <v>466</v>
      </c>
    </row>
    <row r="230" spans="2:2">
      <c r="B230" t="s">
        <v>467</v>
      </c>
    </row>
    <row r="231" spans="2:2">
      <c r="B231" t="s">
        <v>468</v>
      </c>
    </row>
    <row r="232" spans="2:2">
      <c r="B232" t="s">
        <v>362</v>
      </c>
    </row>
    <row r="233" spans="2:2">
      <c r="B233" t="s">
        <v>469</v>
      </c>
    </row>
    <row r="235" spans="2:2">
      <c r="B235" t="s">
        <v>386</v>
      </c>
    </row>
    <row r="236" spans="2:2">
      <c r="B236" t="s">
        <v>387</v>
      </c>
    </row>
    <row r="237" spans="2:2">
      <c r="B237" t="s">
        <v>470</v>
      </c>
    </row>
    <row r="238" spans="2:2">
      <c r="B238" t="s">
        <v>471</v>
      </c>
    </row>
    <row r="239" spans="2:2">
      <c r="B239" t="s">
        <v>472</v>
      </c>
    </row>
    <row r="240" spans="2:2">
      <c r="B240" t="s">
        <v>428</v>
      </c>
    </row>
    <row r="241" spans="2:2">
      <c r="B241" t="s">
        <v>473</v>
      </c>
    </row>
    <row r="243" spans="2:2">
      <c r="B243" t="s">
        <v>364</v>
      </c>
    </row>
    <row r="244" spans="2:2">
      <c r="B244" t="s">
        <v>474</v>
      </c>
    </row>
    <row r="246" spans="2:2">
      <c r="B246" t="s">
        <v>475</v>
      </c>
    </row>
  </sheetData>
  <mergeCells count="4">
    <mergeCell ref="A3:Q3"/>
    <mergeCell ref="A15:Q15"/>
    <mergeCell ref="A26:Q26"/>
    <mergeCell ref="A37:Q37"/>
  </mergeCells>
  <pageMargins left="0.51181102362204722" right="0.51181102362204722" top="0.78740157480314965" bottom="0.78740157480314965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L42"/>
  <sheetViews>
    <sheetView topLeftCell="A28" workbookViewId="0">
      <selection activeCell="I42" sqref="I42:L42"/>
    </sheetView>
  </sheetViews>
  <sheetFormatPr defaultRowHeight="15"/>
  <sheetData>
    <row r="3" spans="1:12">
      <c r="B3" t="s">
        <v>34</v>
      </c>
      <c r="C3">
        <v>1</v>
      </c>
    </row>
    <row r="4" spans="1:12">
      <c r="B4" t="s">
        <v>35</v>
      </c>
      <c r="C4">
        <v>0.3</v>
      </c>
      <c r="E4" t="s">
        <v>38</v>
      </c>
      <c r="F4">
        <f>0.65*1/2</f>
        <v>0.32500000000000001</v>
      </c>
    </row>
    <row r="5" spans="1:12">
      <c r="B5" t="s">
        <v>36</v>
      </c>
      <c r="C5">
        <v>0.4</v>
      </c>
    </row>
    <row r="6" spans="1:12">
      <c r="B6" t="s">
        <v>37</v>
      </c>
      <c r="C6">
        <f>0.1*2.5</f>
        <v>0.25</v>
      </c>
      <c r="F6">
        <f>0.65/2</f>
        <v>0.32500000000000001</v>
      </c>
    </row>
    <row r="8" spans="1:12">
      <c r="F8">
        <f>6400/32.5</f>
        <v>196.92307692307693</v>
      </c>
    </row>
    <row r="9" spans="1:12">
      <c r="F9">
        <f>0.33*32.5</f>
        <v>10.725</v>
      </c>
    </row>
    <row r="10" spans="1:12">
      <c r="F10">
        <f>F9/8</f>
        <v>1.340625</v>
      </c>
    </row>
    <row r="11" spans="1:12">
      <c r="F11">
        <f>F10/0.28</f>
        <v>4.7879464285714279</v>
      </c>
    </row>
    <row r="13" spans="1:12">
      <c r="B13" t="s">
        <v>48</v>
      </c>
    </row>
    <row r="14" spans="1:12">
      <c r="A14" s="183" t="s">
        <v>49</v>
      </c>
      <c r="C14" t="s">
        <v>39</v>
      </c>
      <c r="E14" t="s">
        <v>40</v>
      </c>
      <c r="F14" t="s">
        <v>41</v>
      </c>
      <c r="G14" t="s">
        <v>33</v>
      </c>
      <c r="I14">
        <v>5</v>
      </c>
      <c r="J14">
        <v>6.3</v>
      </c>
      <c r="K14">
        <v>8</v>
      </c>
      <c r="L14">
        <v>10</v>
      </c>
    </row>
    <row r="15" spans="1:12">
      <c r="A15" s="183"/>
      <c r="B15" t="s">
        <v>42</v>
      </c>
      <c r="C15">
        <v>3</v>
      </c>
      <c r="D15">
        <v>1</v>
      </c>
      <c r="E15">
        <v>6.5</v>
      </c>
      <c r="F15">
        <v>10</v>
      </c>
      <c r="G15">
        <f>E15*D15*C15</f>
        <v>19.5</v>
      </c>
      <c r="I15">
        <f>IF(F15=5,G15,0)</f>
        <v>0</v>
      </c>
      <c r="J15">
        <f>IF(F15=6.3,G15,0)</f>
        <v>0</v>
      </c>
      <c r="K15">
        <f>IF(F15=8,G15,0)</f>
        <v>0</v>
      </c>
      <c r="L15">
        <f>IF(F15=10,G15,0)</f>
        <v>19.5</v>
      </c>
    </row>
    <row r="16" spans="1:12">
      <c r="A16" s="183"/>
      <c r="B16" t="s">
        <v>43</v>
      </c>
      <c r="C16">
        <v>2</v>
      </c>
      <c r="D16">
        <v>1</v>
      </c>
      <c r="E16">
        <v>6.5</v>
      </c>
      <c r="F16">
        <v>8</v>
      </c>
      <c r="G16">
        <f t="shared" ref="G16:G20" si="0">E16*D16*C16</f>
        <v>13</v>
      </c>
      <c r="I16">
        <f t="shared" ref="I16:I37" si="1">IF(F16=5,G16,0)</f>
        <v>0</v>
      </c>
      <c r="J16">
        <f t="shared" ref="J16:J37" si="2">IF(F16=6.3,G16,0)</f>
        <v>0</v>
      </c>
      <c r="K16">
        <f t="shared" ref="K16:K37" si="3">IF(F16=8,G16,0)</f>
        <v>13</v>
      </c>
      <c r="L16">
        <f t="shared" ref="L16:L37" si="4">IF(F16=10,G16,0)</f>
        <v>0</v>
      </c>
    </row>
    <row r="17" spans="1:12">
      <c r="A17" s="183"/>
      <c r="B17" t="s">
        <v>44</v>
      </c>
      <c r="C17">
        <v>3</v>
      </c>
      <c r="D17">
        <v>1</v>
      </c>
      <c r="E17">
        <v>6.5</v>
      </c>
      <c r="F17">
        <v>10</v>
      </c>
      <c r="G17">
        <f t="shared" si="0"/>
        <v>19.5</v>
      </c>
      <c r="I17">
        <f t="shared" si="1"/>
        <v>0</v>
      </c>
      <c r="J17">
        <f t="shared" si="2"/>
        <v>0</v>
      </c>
      <c r="K17">
        <f t="shared" si="3"/>
        <v>0</v>
      </c>
      <c r="L17">
        <f t="shared" si="4"/>
        <v>19.5</v>
      </c>
    </row>
    <row r="18" spans="1:12">
      <c r="A18" s="183"/>
      <c r="B18" t="s">
        <v>45</v>
      </c>
      <c r="C18">
        <v>45</v>
      </c>
      <c r="D18">
        <v>1</v>
      </c>
      <c r="E18">
        <v>75</v>
      </c>
      <c r="F18">
        <v>5</v>
      </c>
      <c r="G18">
        <f t="shared" si="0"/>
        <v>3375</v>
      </c>
      <c r="I18">
        <f t="shared" si="1"/>
        <v>3375</v>
      </c>
      <c r="J18">
        <f t="shared" si="2"/>
        <v>0</v>
      </c>
      <c r="K18">
        <f t="shared" si="3"/>
        <v>0</v>
      </c>
      <c r="L18">
        <f t="shared" si="4"/>
        <v>0</v>
      </c>
    </row>
    <row r="19" spans="1:12">
      <c r="A19" s="183"/>
      <c r="B19" t="s">
        <v>46</v>
      </c>
      <c r="C19">
        <v>3</v>
      </c>
      <c r="D19">
        <v>18</v>
      </c>
      <c r="E19">
        <v>255</v>
      </c>
      <c r="F19">
        <v>6.3</v>
      </c>
      <c r="G19">
        <f t="shared" si="0"/>
        <v>13770</v>
      </c>
      <c r="I19">
        <f t="shared" si="1"/>
        <v>0</v>
      </c>
      <c r="J19">
        <f t="shared" si="2"/>
        <v>13770</v>
      </c>
      <c r="K19">
        <f t="shared" si="3"/>
        <v>0</v>
      </c>
      <c r="L19">
        <f t="shared" si="4"/>
        <v>0</v>
      </c>
    </row>
    <row r="20" spans="1:12">
      <c r="A20" s="183"/>
      <c r="B20" t="s">
        <v>47</v>
      </c>
      <c r="C20">
        <v>5</v>
      </c>
      <c r="D20">
        <v>18</v>
      </c>
      <c r="E20">
        <v>75</v>
      </c>
      <c r="F20">
        <v>5</v>
      </c>
      <c r="G20">
        <f t="shared" si="0"/>
        <v>6750</v>
      </c>
      <c r="I20">
        <f t="shared" si="1"/>
        <v>6750</v>
      </c>
      <c r="J20">
        <f t="shared" si="2"/>
        <v>0</v>
      </c>
      <c r="K20">
        <f t="shared" si="3"/>
        <v>0</v>
      </c>
      <c r="L20">
        <f t="shared" si="4"/>
        <v>0</v>
      </c>
    </row>
    <row r="23" spans="1:12">
      <c r="A23" s="174" t="s">
        <v>50</v>
      </c>
      <c r="C23" t="s">
        <v>39</v>
      </c>
      <c r="E23" t="s">
        <v>40</v>
      </c>
      <c r="F23" t="s">
        <v>41</v>
      </c>
      <c r="G23" t="s">
        <v>33</v>
      </c>
    </row>
    <row r="24" spans="1:12">
      <c r="A24" s="174"/>
      <c r="B24" t="s">
        <v>42</v>
      </c>
      <c r="C24">
        <v>3</v>
      </c>
      <c r="D24">
        <v>6</v>
      </c>
      <c r="E24">
        <v>250</v>
      </c>
      <c r="F24">
        <v>10</v>
      </c>
      <c r="G24">
        <f>E24*D24*C24</f>
        <v>4500</v>
      </c>
      <c r="I24">
        <f t="shared" si="1"/>
        <v>0</v>
      </c>
      <c r="J24">
        <f t="shared" si="2"/>
        <v>0</v>
      </c>
      <c r="K24">
        <f t="shared" si="3"/>
        <v>0</v>
      </c>
      <c r="L24">
        <f t="shared" si="4"/>
        <v>4500</v>
      </c>
    </row>
    <row r="25" spans="1:12">
      <c r="A25" s="10"/>
      <c r="B25" t="s">
        <v>43</v>
      </c>
      <c r="C25">
        <v>10</v>
      </c>
      <c r="D25">
        <v>6</v>
      </c>
      <c r="E25">
        <v>100</v>
      </c>
      <c r="F25">
        <v>5</v>
      </c>
      <c r="G25">
        <f t="shared" ref="G25:G37" si="5">E25*D25*C25</f>
        <v>6000</v>
      </c>
      <c r="I25">
        <f t="shared" si="1"/>
        <v>6000</v>
      </c>
      <c r="J25">
        <f t="shared" si="2"/>
        <v>0</v>
      </c>
      <c r="K25">
        <f t="shared" si="3"/>
        <v>0</v>
      </c>
      <c r="L25">
        <f t="shared" si="4"/>
        <v>0</v>
      </c>
    </row>
    <row r="26" spans="1:12">
      <c r="A26" s="10"/>
      <c r="G26">
        <f t="shared" si="5"/>
        <v>0</v>
      </c>
      <c r="I26">
        <f t="shared" si="1"/>
        <v>0</v>
      </c>
      <c r="J26">
        <f t="shared" si="2"/>
        <v>0</v>
      </c>
      <c r="K26">
        <f t="shared" si="3"/>
        <v>0</v>
      </c>
      <c r="L26">
        <f t="shared" si="4"/>
        <v>0</v>
      </c>
    </row>
    <row r="27" spans="1:12">
      <c r="A27" s="11" t="s">
        <v>51</v>
      </c>
      <c r="B27" t="s">
        <v>42</v>
      </c>
      <c r="C27">
        <v>6</v>
      </c>
      <c r="D27">
        <v>6</v>
      </c>
      <c r="E27">
        <v>180</v>
      </c>
      <c r="F27">
        <v>8</v>
      </c>
      <c r="G27">
        <f t="shared" si="5"/>
        <v>6480</v>
      </c>
      <c r="I27">
        <f t="shared" si="1"/>
        <v>0</v>
      </c>
      <c r="J27">
        <f t="shared" si="2"/>
        <v>0</v>
      </c>
      <c r="K27">
        <f t="shared" si="3"/>
        <v>6480</v>
      </c>
      <c r="L27">
        <f t="shared" si="4"/>
        <v>0</v>
      </c>
    </row>
    <row r="28" spans="1:12">
      <c r="A28" s="10"/>
      <c r="G28">
        <f t="shared" si="5"/>
        <v>0</v>
      </c>
    </row>
    <row r="29" spans="1:12">
      <c r="A29" s="10"/>
      <c r="G29">
        <f t="shared" si="5"/>
        <v>0</v>
      </c>
    </row>
    <row r="30" spans="1:12">
      <c r="A30" t="s">
        <v>52</v>
      </c>
      <c r="B30">
        <v>1</v>
      </c>
      <c r="C30">
        <v>3</v>
      </c>
      <c r="D30">
        <v>6</v>
      </c>
      <c r="E30">
        <v>250</v>
      </c>
      <c r="F30">
        <v>10</v>
      </c>
      <c r="G30">
        <f t="shared" si="5"/>
        <v>4500</v>
      </c>
      <c r="I30">
        <f t="shared" si="1"/>
        <v>0</v>
      </c>
      <c r="J30">
        <f t="shared" si="2"/>
        <v>0</v>
      </c>
      <c r="K30">
        <f t="shared" si="3"/>
        <v>0</v>
      </c>
      <c r="L30">
        <f t="shared" si="4"/>
        <v>4500</v>
      </c>
    </row>
    <row r="31" spans="1:12">
      <c r="B31">
        <v>2</v>
      </c>
      <c r="C31">
        <v>10</v>
      </c>
      <c r="D31">
        <v>6</v>
      </c>
      <c r="E31">
        <v>100</v>
      </c>
      <c r="F31">
        <v>5</v>
      </c>
      <c r="G31">
        <f t="shared" si="5"/>
        <v>6000</v>
      </c>
      <c r="I31">
        <f>IF(F31=5,G31,0)</f>
        <v>6000</v>
      </c>
      <c r="J31">
        <f t="shared" si="2"/>
        <v>0</v>
      </c>
      <c r="K31">
        <f t="shared" si="3"/>
        <v>0</v>
      </c>
      <c r="L31">
        <f t="shared" si="4"/>
        <v>0</v>
      </c>
    </row>
    <row r="32" spans="1:12">
      <c r="G32">
        <f t="shared" si="5"/>
        <v>0</v>
      </c>
      <c r="I32">
        <f t="shared" si="1"/>
        <v>0</v>
      </c>
      <c r="J32">
        <f t="shared" si="2"/>
        <v>0</v>
      </c>
      <c r="K32">
        <f t="shared" si="3"/>
        <v>0</v>
      </c>
      <c r="L32">
        <f t="shared" si="4"/>
        <v>0</v>
      </c>
    </row>
    <row r="33" spans="1:12">
      <c r="A33" t="s">
        <v>53</v>
      </c>
      <c r="B33">
        <v>1</v>
      </c>
      <c r="C33">
        <v>2</v>
      </c>
      <c r="D33">
        <v>2</v>
      </c>
      <c r="E33">
        <v>120</v>
      </c>
      <c r="F33">
        <v>10</v>
      </c>
      <c r="G33">
        <f t="shared" si="5"/>
        <v>480</v>
      </c>
      <c r="I33">
        <f t="shared" si="1"/>
        <v>0</v>
      </c>
      <c r="J33">
        <f t="shared" si="2"/>
        <v>0</v>
      </c>
      <c r="K33">
        <f t="shared" si="3"/>
        <v>0</v>
      </c>
      <c r="L33">
        <f t="shared" si="4"/>
        <v>480</v>
      </c>
    </row>
    <row r="34" spans="1:12">
      <c r="B34">
        <v>2</v>
      </c>
      <c r="C34">
        <v>10</v>
      </c>
      <c r="D34">
        <v>2</v>
      </c>
      <c r="E34">
        <v>100</v>
      </c>
      <c r="F34">
        <v>5</v>
      </c>
      <c r="G34">
        <f t="shared" si="5"/>
        <v>2000</v>
      </c>
      <c r="I34">
        <f t="shared" si="1"/>
        <v>2000</v>
      </c>
      <c r="J34">
        <f t="shared" si="2"/>
        <v>0</v>
      </c>
      <c r="K34">
        <f t="shared" si="3"/>
        <v>0</v>
      </c>
      <c r="L34">
        <f t="shared" si="4"/>
        <v>0</v>
      </c>
    </row>
    <row r="35" spans="1:12">
      <c r="G35">
        <f t="shared" si="5"/>
        <v>0</v>
      </c>
      <c r="I35">
        <f t="shared" si="1"/>
        <v>0</v>
      </c>
      <c r="J35">
        <f t="shared" si="2"/>
        <v>0</v>
      </c>
      <c r="K35">
        <f t="shared" si="3"/>
        <v>0</v>
      </c>
      <c r="L35">
        <f t="shared" si="4"/>
        <v>0</v>
      </c>
    </row>
    <row r="36" spans="1:12">
      <c r="A36" t="s">
        <v>54</v>
      </c>
      <c r="B36">
        <v>1</v>
      </c>
      <c r="C36">
        <v>2</v>
      </c>
      <c r="D36">
        <v>2</v>
      </c>
      <c r="E36">
        <v>120</v>
      </c>
      <c r="F36">
        <v>10</v>
      </c>
      <c r="G36">
        <f t="shared" si="5"/>
        <v>480</v>
      </c>
      <c r="I36">
        <f t="shared" si="1"/>
        <v>0</v>
      </c>
      <c r="J36">
        <f t="shared" si="2"/>
        <v>0</v>
      </c>
      <c r="K36">
        <f t="shared" si="3"/>
        <v>0</v>
      </c>
      <c r="L36">
        <f t="shared" si="4"/>
        <v>480</v>
      </c>
    </row>
    <row r="37" spans="1:12">
      <c r="B37">
        <v>2</v>
      </c>
      <c r="C37">
        <v>10</v>
      </c>
      <c r="D37">
        <v>2</v>
      </c>
      <c r="E37">
        <v>100</v>
      </c>
      <c r="F37">
        <v>5</v>
      </c>
      <c r="G37">
        <f t="shared" si="5"/>
        <v>2000</v>
      </c>
      <c r="I37">
        <f t="shared" si="1"/>
        <v>2000</v>
      </c>
      <c r="J37">
        <f t="shared" si="2"/>
        <v>0</v>
      </c>
      <c r="K37">
        <f t="shared" si="3"/>
        <v>0</v>
      </c>
      <c r="L37">
        <f t="shared" si="4"/>
        <v>0</v>
      </c>
    </row>
    <row r="39" spans="1:12">
      <c r="H39" t="s">
        <v>55</v>
      </c>
      <c r="I39">
        <f>SUM(I15:I37)</f>
        <v>26125</v>
      </c>
      <c r="J39">
        <f t="shared" ref="J39:L39" si="6">SUM(J15:J37)</f>
        <v>13770</v>
      </c>
      <c r="K39">
        <f t="shared" si="6"/>
        <v>6493</v>
      </c>
      <c r="L39">
        <f t="shared" si="6"/>
        <v>9999</v>
      </c>
    </row>
    <row r="40" spans="1:12">
      <c r="I40">
        <f>I39/100</f>
        <v>261.25</v>
      </c>
      <c r="J40">
        <f t="shared" ref="J40:L40" si="7">J39/100</f>
        <v>137.69999999999999</v>
      </c>
      <c r="K40">
        <f t="shared" si="7"/>
        <v>64.930000000000007</v>
      </c>
      <c r="L40">
        <f t="shared" si="7"/>
        <v>99.99</v>
      </c>
    </row>
    <row r="42" spans="1:12">
      <c r="I42">
        <v>5</v>
      </c>
      <c r="J42">
        <v>6.3</v>
      </c>
      <c r="K42">
        <v>8</v>
      </c>
      <c r="L42">
        <v>10</v>
      </c>
    </row>
  </sheetData>
  <mergeCells count="2">
    <mergeCell ref="A14:A20"/>
    <mergeCell ref="A23:A24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B4:E145"/>
  <sheetViews>
    <sheetView topLeftCell="A136" workbookViewId="0">
      <selection activeCell="B6" sqref="B6:F145"/>
    </sheetView>
  </sheetViews>
  <sheetFormatPr defaultRowHeight="15"/>
  <cols>
    <col min="1" max="1" width="9.140625" style="19"/>
    <col min="2" max="2" width="58.85546875" style="19" customWidth="1"/>
    <col min="3" max="16384" width="9.140625" style="19"/>
  </cols>
  <sheetData>
    <row r="4" spans="2:5" ht="31.5" customHeight="1">
      <c r="B4" s="184" t="s">
        <v>56</v>
      </c>
      <c r="C4" s="184"/>
    </row>
    <row r="5" spans="2:5" ht="18.75">
      <c r="B5" s="109"/>
    </row>
    <row r="6" spans="2:5">
      <c r="B6" s="110" t="s">
        <v>57</v>
      </c>
      <c r="C6" s="111"/>
    </row>
    <row r="7" spans="2:5">
      <c r="B7" s="111" t="s">
        <v>58</v>
      </c>
      <c r="C7" s="111"/>
    </row>
    <row r="8" spans="2:5">
      <c r="B8" s="111" t="s">
        <v>59</v>
      </c>
      <c r="C8" s="112" t="s">
        <v>60</v>
      </c>
      <c r="D8" s="19">
        <v>51</v>
      </c>
    </row>
    <row r="9" spans="2:5">
      <c r="B9" s="111" t="s">
        <v>61</v>
      </c>
      <c r="C9" s="112" t="s">
        <v>62</v>
      </c>
      <c r="D9" s="19">
        <v>12</v>
      </c>
    </row>
    <row r="10" spans="2:5">
      <c r="B10" s="111" t="s">
        <v>63</v>
      </c>
      <c r="C10" s="111"/>
    </row>
    <row r="11" spans="2:5" ht="45">
      <c r="B11" s="111" t="s">
        <v>585</v>
      </c>
      <c r="C11" s="111"/>
    </row>
    <row r="12" spans="2:5">
      <c r="B12" s="111" t="s">
        <v>64</v>
      </c>
      <c r="C12" s="112" t="s">
        <v>65</v>
      </c>
      <c r="D12" s="19">
        <v>3</v>
      </c>
      <c r="E12" s="19">
        <v>22.49</v>
      </c>
    </row>
    <row r="13" spans="2:5">
      <c r="B13" s="111" t="s">
        <v>66</v>
      </c>
      <c r="C13" s="111"/>
    </row>
    <row r="14" spans="2:5">
      <c r="B14" s="111" t="s">
        <v>67</v>
      </c>
      <c r="C14" s="112" t="s">
        <v>68</v>
      </c>
      <c r="D14" s="113">
        <v>1</v>
      </c>
    </row>
    <row r="15" spans="2:5">
      <c r="B15" s="111" t="s">
        <v>69</v>
      </c>
      <c r="C15" s="112" t="s">
        <v>70</v>
      </c>
      <c r="D15" s="113">
        <v>4</v>
      </c>
    </row>
    <row r="16" spans="2:5">
      <c r="B16" s="111" t="s">
        <v>71</v>
      </c>
      <c r="C16" s="111"/>
    </row>
    <row r="17" spans="2:5">
      <c r="B17" s="111" t="s">
        <v>72</v>
      </c>
      <c r="C17" s="112" t="s">
        <v>73</v>
      </c>
      <c r="D17" s="113">
        <v>5</v>
      </c>
    </row>
    <row r="18" spans="2:5">
      <c r="B18" s="110" t="s">
        <v>74</v>
      </c>
      <c r="C18" s="111"/>
    </row>
    <row r="19" spans="2:5">
      <c r="B19" s="111" t="s">
        <v>75</v>
      </c>
      <c r="C19" s="111"/>
    </row>
    <row r="20" spans="2:5">
      <c r="B20" s="111" t="s">
        <v>76</v>
      </c>
      <c r="C20" s="112" t="s">
        <v>77</v>
      </c>
      <c r="D20" s="19">
        <v>58</v>
      </c>
    </row>
    <row r="21" spans="2:5">
      <c r="B21" s="111" t="s">
        <v>78</v>
      </c>
      <c r="C21" s="112" t="s">
        <v>79</v>
      </c>
      <c r="D21" s="19">
        <v>23</v>
      </c>
    </row>
    <row r="22" spans="2:5">
      <c r="B22" s="111" t="s">
        <v>80</v>
      </c>
      <c r="C22" s="111"/>
    </row>
    <row r="23" spans="2:5">
      <c r="B23" s="111" t="s">
        <v>81</v>
      </c>
      <c r="C23" s="112" t="s">
        <v>68</v>
      </c>
      <c r="D23" s="19">
        <v>1</v>
      </c>
    </row>
    <row r="24" spans="2:5">
      <c r="B24" s="111" t="s">
        <v>82</v>
      </c>
      <c r="C24" s="111"/>
    </row>
    <row r="25" spans="2:5">
      <c r="B25" s="111" t="s">
        <v>83</v>
      </c>
      <c r="C25" s="112" t="s">
        <v>77</v>
      </c>
      <c r="D25" s="113">
        <v>58</v>
      </c>
    </row>
    <row r="26" spans="2:5">
      <c r="B26" s="111" t="s">
        <v>84</v>
      </c>
      <c r="C26" s="112" t="s">
        <v>79</v>
      </c>
      <c r="D26" s="113">
        <v>23</v>
      </c>
    </row>
    <row r="27" spans="2:5">
      <c r="B27" s="110" t="s">
        <v>85</v>
      </c>
      <c r="C27" s="111"/>
    </row>
    <row r="28" spans="2:5">
      <c r="B28" s="111" t="s">
        <v>86</v>
      </c>
      <c r="C28" s="111"/>
    </row>
    <row r="29" spans="2:5">
      <c r="B29" s="111" t="s">
        <v>87</v>
      </c>
      <c r="C29" s="112" t="s">
        <v>88</v>
      </c>
      <c r="D29" s="19">
        <v>800</v>
      </c>
    </row>
    <row r="30" spans="2:5">
      <c r="B30" s="111" t="s">
        <v>89</v>
      </c>
      <c r="C30" s="112" t="s">
        <v>90</v>
      </c>
      <c r="D30" s="113">
        <v>50</v>
      </c>
    </row>
    <row r="31" spans="2:5">
      <c r="B31" s="111" t="s">
        <v>91</v>
      </c>
      <c r="C31" s="112" t="s">
        <v>92</v>
      </c>
      <c r="D31" s="113">
        <v>500</v>
      </c>
      <c r="E31" s="19">
        <v>2.5</v>
      </c>
    </row>
    <row r="32" spans="2:5" ht="30">
      <c r="B32" s="111" t="s">
        <v>586</v>
      </c>
      <c r="C32" s="112"/>
      <c r="D32" s="113"/>
    </row>
    <row r="33" spans="2:5">
      <c r="B33" s="111" t="s">
        <v>93</v>
      </c>
      <c r="C33" s="112" t="s">
        <v>94</v>
      </c>
      <c r="D33" s="113">
        <v>150</v>
      </c>
      <c r="E33" s="19">
        <v>13.61</v>
      </c>
    </row>
    <row r="34" spans="2:5">
      <c r="B34" s="111" t="s">
        <v>95</v>
      </c>
      <c r="C34" s="112" t="s">
        <v>96</v>
      </c>
      <c r="D34" s="113">
        <v>150</v>
      </c>
      <c r="E34" s="19">
        <v>4.2699999999999996</v>
      </c>
    </row>
    <row r="35" spans="2:5">
      <c r="B35" s="111" t="s">
        <v>97</v>
      </c>
      <c r="C35" s="112" t="s">
        <v>98</v>
      </c>
      <c r="D35" s="113">
        <v>200</v>
      </c>
      <c r="E35" s="19">
        <v>5.25</v>
      </c>
    </row>
    <row r="36" spans="2:5">
      <c r="B36" s="110" t="s">
        <v>99</v>
      </c>
      <c r="C36" s="111"/>
    </row>
    <row r="37" spans="2:5">
      <c r="B37" s="111" t="s">
        <v>100</v>
      </c>
      <c r="C37" s="111"/>
    </row>
    <row r="38" spans="2:5">
      <c r="B38" s="111" t="s">
        <v>101</v>
      </c>
      <c r="C38" s="112" t="s">
        <v>73</v>
      </c>
      <c r="D38" s="113">
        <v>5</v>
      </c>
    </row>
    <row r="39" spans="2:5">
      <c r="B39" s="111" t="s">
        <v>102</v>
      </c>
      <c r="C39" s="112" t="s">
        <v>73</v>
      </c>
      <c r="D39" s="113">
        <v>5</v>
      </c>
    </row>
    <row r="40" spans="2:5">
      <c r="B40" s="110" t="s">
        <v>103</v>
      </c>
      <c r="C40" s="111"/>
    </row>
    <row r="41" spans="2:5">
      <c r="B41" s="111" t="s">
        <v>104</v>
      </c>
      <c r="C41" s="111"/>
    </row>
    <row r="42" spans="2:5">
      <c r="B42" s="111" t="s">
        <v>105</v>
      </c>
      <c r="C42" s="112" t="s">
        <v>70</v>
      </c>
      <c r="D42" s="19">
        <v>4</v>
      </c>
    </row>
    <row r="43" spans="2:5">
      <c r="B43" s="110" t="s">
        <v>106</v>
      </c>
      <c r="C43" s="111"/>
    </row>
    <row r="44" spans="2:5">
      <c r="B44" s="111" t="s">
        <v>587</v>
      </c>
      <c r="C44" s="111"/>
      <c r="D44" s="19">
        <v>32</v>
      </c>
      <c r="E44" s="19">
        <v>22.49</v>
      </c>
    </row>
    <row r="45" spans="2:5">
      <c r="B45" s="111" t="s">
        <v>107</v>
      </c>
      <c r="C45" s="112" t="s">
        <v>62</v>
      </c>
      <c r="D45" s="19">
        <v>32</v>
      </c>
    </row>
    <row r="46" spans="2:5">
      <c r="B46" s="111"/>
      <c r="C46" s="111"/>
    </row>
    <row r="47" spans="2:5">
      <c r="B47" s="111"/>
      <c r="C47" s="111"/>
    </row>
    <row r="48" spans="2:5">
      <c r="B48" s="111" t="s">
        <v>588</v>
      </c>
      <c r="C48" s="111"/>
      <c r="D48" s="113">
        <v>31</v>
      </c>
      <c r="E48" s="19">
        <v>22.49</v>
      </c>
    </row>
    <row r="49" spans="2:4">
      <c r="B49" s="111" t="s">
        <v>111</v>
      </c>
      <c r="C49" s="112" t="s">
        <v>112</v>
      </c>
      <c r="D49" s="113">
        <v>31</v>
      </c>
    </row>
    <row r="50" spans="2:4">
      <c r="B50" s="111"/>
      <c r="C50" s="112"/>
      <c r="D50" s="113"/>
    </row>
    <row r="51" spans="2:4">
      <c r="B51" s="110" t="s">
        <v>114</v>
      </c>
      <c r="C51" s="111"/>
    </row>
    <row r="52" spans="2:4">
      <c r="B52" s="111" t="s">
        <v>115</v>
      </c>
      <c r="C52" s="111"/>
    </row>
    <row r="53" spans="2:4">
      <c r="B53" s="111" t="s">
        <v>116</v>
      </c>
      <c r="C53" s="112" t="s">
        <v>70</v>
      </c>
      <c r="D53" s="113">
        <v>4</v>
      </c>
    </row>
    <row r="54" spans="2:4">
      <c r="B54" s="111" t="s">
        <v>110</v>
      </c>
      <c r="C54" s="111"/>
    </row>
    <row r="55" spans="2:4">
      <c r="B55" s="111" t="s">
        <v>117</v>
      </c>
      <c r="C55" s="112" t="s">
        <v>113</v>
      </c>
      <c r="D55" s="19">
        <v>2</v>
      </c>
    </row>
    <row r="56" spans="2:4">
      <c r="B56" s="111" t="s">
        <v>118</v>
      </c>
      <c r="C56" s="112" t="s">
        <v>68</v>
      </c>
      <c r="D56" s="19">
        <v>1</v>
      </c>
    </row>
    <row r="57" spans="2:4">
      <c r="B57" s="111" t="s">
        <v>119</v>
      </c>
      <c r="C57" s="111"/>
    </row>
    <row r="58" spans="2:4">
      <c r="B58" s="111" t="s">
        <v>120</v>
      </c>
      <c r="C58" s="112" t="s">
        <v>65</v>
      </c>
      <c r="D58" s="113">
        <v>3</v>
      </c>
    </row>
    <row r="59" spans="2:4">
      <c r="B59" s="111"/>
      <c r="C59" s="111"/>
    </row>
    <row r="60" spans="2:4">
      <c r="B60" s="111"/>
      <c r="C60" s="112"/>
      <c r="D60" s="113"/>
    </row>
    <row r="61" spans="2:4">
      <c r="B61" s="110" t="s">
        <v>121</v>
      </c>
      <c r="C61" s="111"/>
    </row>
    <row r="62" spans="2:4">
      <c r="B62" s="111" t="s">
        <v>122</v>
      </c>
      <c r="C62" s="111"/>
    </row>
    <row r="63" spans="2:4">
      <c r="B63" s="111" t="s">
        <v>123</v>
      </c>
      <c r="C63" s="112" t="s">
        <v>124</v>
      </c>
      <c r="D63" s="19">
        <v>14</v>
      </c>
    </row>
    <row r="64" spans="2:4">
      <c r="B64" s="111" t="s">
        <v>125</v>
      </c>
      <c r="C64" s="112" t="s">
        <v>68</v>
      </c>
      <c r="D64" s="19">
        <v>1</v>
      </c>
    </row>
    <row r="65" spans="2:4">
      <c r="B65" s="111" t="s">
        <v>126</v>
      </c>
      <c r="C65" s="112" t="s">
        <v>68</v>
      </c>
      <c r="D65" s="113">
        <v>1</v>
      </c>
    </row>
    <row r="66" spans="2:4">
      <c r="B66" s="111" t="s">
        <v>127</v>
      </c>
      <c r="C66" s="112" t="s">
        <v>68</v>
      </c>
      <c r="D66" s="113">
        <v>1</v>
      </c>
    </row>
    <row r="67" spans="2:4">
      <c r="B67" s="110" t="s">
        <v>128</v>
      </c>
      <c r="C67" s="111"/>
    </row>
    <row r="68" spans="2:4">
      <c r="B68" s="111" t="s">
        <v>129</v>
      </c>
      <c r="C68" s="111"/>
    </row>
    <row r="69" spans="2:4">
      <c r="B69" s="111" t="s">
        <v>72</v>
      </c>
      <c r="C69" s="112" t="s">
        <v>130</v>
      </c>
      <c r="D69" s="113">
        <v>30</v>
      </c>
    </row>
    <row r="70" spans="2:4">
      <c r="B70" s="111" t="s">
        <v>131</v>
      </c>
      <c r="C70" s="112" t="s">
        <v>132</v>
      </c>
      <c r="D70" s="113">
        <v>370</v>
      </c>
    </row>
    <row r="71" spans="2:4">
      <c r="B71" s="111" t="s">
        <v>133</v>
      </c>
      <c r="C71" s="111"/>
    </row>
    <row r="72" spans="2:4">
      <c r="B72" s="111" t="s">
        <v>67</v>
      </c>
      <c r="C72" s="112" t="s">
        <v>134</v>
      </c>
      <c r="D72" s="19">
        <v>30</v>
      </c>
    </row>
    <row r="73" spans="2:4">
      <c r="B73" s="111" t="s">
        <v>135</v>
      </c>
      <c r="C73" s="112" t="s">
        <v>136</v>
      </c>
      <c r="D73" s="113">
        <v>50</v>
      </c>
    </row>
    <row r="74" spans="2:4">
      <c r="B74" s="110" t="s">
        <v>137</v>
      </c>
      <c r="C74" s="111"/>
    </row>
    <row r="75" spans="2:4">
      <c r="B75" s="111" t="s">
        <v>138</v>
      </c>
      <c r="C75" s="111"/>
    </row>
    <row r="76" spans="2:4">
      <c r="B76" s="111" t="s">
        <v>69</v>
      </c>
      <c r="C76" s="112" t="s">
        <v>139</v>
      </c>
    </row>
    <row r="77" spans="2:4">
      <c r="B77" s="111" t="s">
        <v>140</v>
      </c>
      <c r="C77" s="111"/>
    </row>
    <row r="78" spans="2:4">
      <c r="B78" s="111" t="s">
        <v>67</v>
      </c>
      <c r="C78" s="112" t="s">
        <v>70</v>
      </c>
    </row>
    <row r="79" spans="2:4">
      <c r="B79" s="111" t="s">
        <v>135</v>
      </c>
      <c r="C79" s="112" t="s">
        <v>113</v>
      </c>
    </row>
    <row r="80" spans="2:4">
      <c r="B80" s="111" t="s">
        <v>141</v>
      </c>
      <c r="C80" s="111"/>
    </row>
    <row r="81" spans="2:4">
      <c r="B81" s="111" t="s">
        <v>67</v>
      </c>
      <c r="C81" s="112" t="s">
        <v>142</v>
      </c>
      <c r="D81" s="19">
        <v>10</v>
      </c>
    </row>
    <row r="82" spans="2:4">
      <c r="B82" s="111" t="s">
        <v>69</v>
      </c>
      <c r="C82" s="112" t="s">
        <v>143</v>
      </c>
      <c r="D82" s="19">
        <v>66</v>
      </c>
    </row>
    <row r="83" spans="2:4">
      <c r="B83" s="111" t="s">
        <v>135</v>
      </c>
      <c r="C83" s="112" t="s">
        <v>144</v>
      </c>
      <c r="D83" s="19">
        <v>6</v>
      </c>
    </row>
    <row r="84" spans="2:4">
      <c r="B84" s="111" t="s">
        <v>145</v>
      </c>
      <c r="C84" s="112" t="s">
        <v>146</v>
      </c>
      <c r="D84" s="113">
        <v>3</v>
      </c>
    </row>
    <row r="85" spans="2:4">
      <c r="B85" s="110" t="s">
        <v>147</v>
      </c>
      <c r="C85" s="111"/>
    </row>
    <row r="86" spans="2:4">
      <c r="B86" s="111" t="s">
        <v>140</v>
      </c>
      <c r="C86" s="111"/>
    </row>
    <row r="87" spans="2:4">
      <c r="B87" s="111" t="s">
        <v>131</v>
      </c>
      <c r="C87" s="112" t="s">
        <v>148</v>
      </c>
    </row>
    <row r="88" spans="2:4">
      <c r="B88" s="111" t="s">
        <v>149</v>
      </c>
      <c r="C88" s="111"/>
    </row>
    <row r="89" spans="2:4">
      <c r="B89" s="111" t="s">
        <v>131</v>
      </c>
      <c r="C89" s="112" t="s">
        <v>150</v>
      </c>
      <c r="D89" s="19">
        <v>20</v>
      </c>
    </row>
    <row r="90" spans="2:4">
      <c r="B90" s="110" t="s">
        <v>151</v>
      </c>
      <c r="C90" s="111"/>
    </row>
    <row r="91" spans="2:4">
      <c r="B91" s="111" t="s">
        <v>152</v>
      </c>
      <c r="C91" s="111"/>
    </row>
    <row r="92" spans="2:4">
      <c r="B92" s="111" t="s">
        <v>153</v>
      </c>
      <c r="C92" s="112" t="s">
        <v>154</v>
      </c>
      <c r="D92" s="19">
        <v>95</v>
      </c>
    </row>
    <row r="93" spans="2:4">
      <c r="B93" s="111" t="s">
        <v>155</v>
      </c>
      <c r="C93" s="111"/>
    </row>
    <row r="94" spans="2:4">
      <c r="B94" s="111" t="s">
        <v>156</v>
      </c>
      <c r="C94" s="112" t="s">
        <v>154</v>
      </c>
    </row>
    <row r="95" spans="2:4">
      <c r="B95" s="110" t="s">
        <v>157</v>
      </c>
      <c r="C95" s="111"/>
    </row>
    <row r="96" spans="2:4">
      <c r="B96" s="111" t="s">
        <v>158</v>
      </c>
      <c r="C96" s="111"/>
    </row>
    <row r="97" spans="2:4">
      <c r="B97" s="111" t="s">
        <v>159</v>
      </c>
      <c r="C97" s="112" t="s">
        <v>70</v>
      </c>
      <c r="D97" s="19">
        <v>4</v>
      </c>
    </row>
    <row r="98" spans="2:4">
      <c r="B98" s="111" t="s">
        <v>160</v>
      </c>
      <c r="C98" s="111"/>
    </row>
    <row r="99" spans="2:4">
      <c r="B99" s="111" t="s">
        <v>161</v>
      </c>
      <c r="C99" s="112" t="s">
        <v>154</v>
      </c>
      <c r="D99" s="19">
        <v>95</v>
      </c>
    </row>
    <row r="100" spans="2:4">
      <c r="B100" s="110" t="s">
        <v>162</v>
      </c>
      <c r="C100" s="111"/>
    </row>
    <row r="101" spans="2:4">
      <c r="B101" s="111" t="s">
        <v>163</v>
      </c>
      <c r="C101" s="111"/>
    </row>
    <row r="102" spans="2:4">
      <c r="B102" s="111" t="s">
        <v>164</v>
      </c>
      <c r="C102" s="112" t="s">
        <v>113</v>
      </c>
    </row>
    <row r="103" spans="2:4">
      <c r="B103" s="111" t="s">
        <v>165</v>
      </c>
      <c r="C103" s="111"/>
    </row>
    <row r="104" spans="2:4">
      <c r="B104" s="111" t="s">
        <v>166</v>
      </c>
      <c r="C104" s="112" t="s">
        <v>113</v>
      </c>
    </row>
    <row r="105" spans="2:4">
      <c r="B105" s="111" t="s">
        <v>167</v>
      </c>
      <c r="C105" s="111"/>
    </row>
    <row r="106" spans="2:4">
      <c r="B106" s="111" t="s">
        <v>168</v>
      </c>
      <c r="C106" s="112" t="s">
        <v>68</v>
      </c>
    </row>
    <row r="107" spans="2:4">
      <c r="B107" s="111" t="s">
        <v>169</v>
      </c>
      <c r="C107" s="111"/>
    </row>
    <row r="108" spans="2:4">
      <c r="B108" s="111" t="s">
        <v>170</v>
      </c>
      <c r="C108" s="112" t="s">
        <v>70</v>
      </c>
    </row>
    <row r="109" spans="2:4">
      <c r="B109" s="111" t="s">
        <v>171</v>
      </c>
      <c r="C109" s="111"/>
    </row>
    <row r="110" spans="2:4">
      <c r="B110" s="111" t="s">
        <v>172</v>
      </c>
      <c r="C110" s="112" t="s">
        <v>68</v>
      </c>
    </row>
    <row r="111" spans="2:4">
      <c r="B111" s="110" t="s">
        <v>173</v>
      </c>
      <c r="C111" s="111"/>
    </row>
    <row r="112" spans="2:4">
      <c r="B112" s="111" t="s">
        <v>174</v>
      </c>
      <c r="C112" s="111"/>
    </row>
    <row r="113" spans="2:4">
      <c r="B113" s="111" t="s">
        <v>175</v>
      </c>
      <c r="C113" s="112" t="s">
        <v>68</v>
      </c>
    </row>
    <row r="114" spans="2:4">
      <c r="B114" s="110" t="s">
        <v>176</v>
      </c>
      <c r="C114" s="111"/>
    </row>
    <row r="115" spans="2:4">
      <c r="B115" s="111" t="s">
        <v>177</v>
      </c>
      <c r="C115" s="111"/>
    </row>
    <row r="116" spans="2:4">
      <c r="B116" s="111" t="s">
        <v>178</v>
      </c>
      <c r="C116" s="112" t="s">
        <v>68</v>
      </c>
      <c r="D116" s="19">
        <v>1</v>
      </c>
    </row>
    <row r="117" spans="2:4">
      <c r="B117" s="110" t="s">
        <v>179</v>
      </c>
      <c r="C117" s="111"/>
    </row>
    <row r="118" spans="2:4">
      <c r="B118" s="111" t="s">
        <v>58</v>
      </c>
      <c r="C118" s="111"/>
    </row>
    <row r="119" spans="2:4">
      <c r="B119" s="111" t="s">
        <v>59</v>
      </c>
      <c r="C119" s="112" t="s">
        <v>180</v>
      </c>
      <c r="D119" s="19">
        <v>8</v>
      </c>
    </row>
    <row r="120" spans="2:4">
      <c r="B120" s="110" t="s">
        <v>181</v>
      </c>
      <c r="C120" s="111"/>
    </row>
    <row r="121" spans="2:4">
      <c r="B121" s="111" t="s">
        <v>182</v>
      </c>
      <c r="C121" s="111"/>
    </row>
    <row r="122" spans="2:4">
      <c r="B122" s="111" t="s">
        <v>183</v>
      </c>
      <c r="C122" s="112" t="s">
        <v>180</v>
      </c>
      <c r="D122" s="19">
        <v>8</v>
      </c>
    </row>
    <row r="123" spans="2:4">
      <c r="B123" s="110" t="s">
        <v>184</v>
      </c>
      <c r="C123" s="111"/>
    </row>
    <row r="124" spans="2:4">
      <c r="B124" s="111" t="s">
        <v>129</v>
      </c>
      <c r="C124" s="111"/>
    </row>
    <row r="125" spans="2:4">
      <c r="B125" s="111" t="s">
        <v>72</v>
      </c>
      <c r="C125" s="112" t="s">
        <v>185</v>
      </c>
      <c r="D125" s="19">
        <v>18</v>
      </c>
    </row>
    <row r="126" spans="2:4">
      <c r="B126" s="111" t="s">
        <v>131</v>
      </c>
      <c r="C126" s="112" t="s">
        <v>186</v>
      </c>
      <c r="D126" s="19">
        <v>60</v>
      </c>
    </row>
    <row r="127" spans="2:4">
      <c r="B127" s="110" t="s">
        <v>187</v>
      </c>
      <c r="C127" s="111"/>
    </row>
    <row r="128" spans="2:4">
      <c r="B128" s="111" t="s">
        <v>58</v>
      </c>
      <c r="C128" s="111"/>
    </row>
    <row r="129" spans="2:4">
      <c r="B129" s="111" t="s">
        <v>59</v>
      </c>
      <c r="C129" s="112" t="s">
        <v>68</v>
      </c>
      <c r="D129" s="19">
        <v>1</v>
      </c>
    </row>
    <row r="130" spans="2:4">
      <c r="B130" s="110" t="s">
        <v>188</v>
      </c>
      <c r="C130" s="111"/>
    </row>
    <row r="131" spans="2:4">
      <c r="B131" s="111" t="s">
        <v>182</v>
      </c>
      <c r="C131" s="111"/>
    </row>
    <row r="132" spans="2:4">
      <c r="B132" s="111" t="s">
        <v>189</v>
      </c>
      <c r="C132" s="112" t="s">
        <v>68</v>
      </c>
      <c r="D132" s="19">
        <v>1</v>
      </c>
    </row>
    <row r="133" spans="2:4">
      <c r="B133" s="110" t="s">
        <v>190</v>
      </c>
      <c r="C133" s="111"/>
    </row>
    <row r="134" spans="2:4">
      <c r="B134" s="111" t="s">
        <v>58</v>
      </c>
      <c r="C134" s="111"/>
    </row>
    <row r="135" spans="2:4">
      <c r="B135" s="111" t="s">
        <v>59</v>
      </c>
      <c r="C135" s="112" t="s">
        <v>180</v>
      </c>
      <c r="D135" s="19">
        <v>8</v>
      </c>
    </row>
    <row r="136" spans="2:4">
      <c r="B136" s="110" t="s">
        <v>191</v>
      </c>
      <c r="C136" s="111"/>
    </row>
    <row r="137" spans="2:4">
      <c r="B137" s="111" t="s">
        <v>108</v>
      </c>
      <c r="C137" s="111"/>
    </row>
    <row r="138" spans="2:4">
      <c r="B138" s="111" t="s">
        <v>192</v>
      </c>
      <c r="C138" s="112" t="s">
        <v>193</v>
      </c>
      <c r="D138" s="19">
        <v>6</v>
      </c>
    </row>
    <row r="139" spans="2:4">
      <c r="B139" s="111" t="s">
        <v>109</v>
      </c>
      <c r="C139" s="112" t="s">
        <v>113</v>
      </c>
      <c r="D139" s="19">
        <v>2</v>
      </c>
    </row>
    <row r="140" spans="2:4">
      <c r="B140" s="111" t="s">
        <v>110</v>
      </c>
      <c r="C140" s="111"/>
    </row>
    <row r="141" spans="2:4">
      <c r="B141" s="111" t="s">
        <v>194</v>
      </c>
      <c r="C141" s="112" t="s">
        <v>113</v>
      </c>
      <c r="D141" s="19">
        <v>2</v>
      </c>
    </row>
    <row r="142" spans="2:4">
      <c r="B142" s="111" t="s">
        <v>195</v>
      </c>
      <c r="C142" s="112" t="s">
        <v>193</v>
      </c>
      <c r="D142" s="113">
        <v>6</v>
      </c>
    </row>
    <row r="143" spans="2:4">
      <c r="B143" s="110" t="s">
        <v>196</v>
      </c>
      <c r="C143" s="111"/>
    </row>
    <row r="144" spans="2:4">
      <c r="B144" s="111" t="s">
        <v>129</v>
      </c>
      <c r="C144" s="111"/>
    </row>
    <row r="145" spans="2:4">
      <c r="B145" s="111" t="s">
        <v>131</v>
      </c>
      <c r="C145" s="112" t="s">
        <v>197</v>
      </c>
      <c r="D145" s="19">
        <v>80</v>
      </c>
    </row>
  </sheetData>
  <mergeCells count="1">
    <mergeCell ref="B4:C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F98"/>
  <sheetViews>
    <sheetView topLeftCell="A97" workbookViewId="0">
      <selection activeCell="A61" sqref="A61:E98"/>
    </sheetView>
  </sheetViews>
  <sheetFormatPr defaultRowHeight="15"/>
  <cols>
    <col min="1" max="1" width="46.140625" customWidth="1"/>
    <col min="4" max="4" width="9.140625" style="106"/>
    <col min="5" max="5" width="9.5703125" style="106" bestFit="1" customWidth="1"/>
    <col min="6" max="6" width="9.5703125" bestFit="1" customWidth="1"/>
  </cols>
  <sheetData>
    <row r="1" spans="1:6">
      <c r="A1" t="s">
        <v>198</v>
      </c>
    </row>
    <row r="3" spans="1:6">
      <c r="A3" t="s">
        <v>578</v>
      </c>
      <c r="F3" s="95">
        <f>SUM(E7:E57)</f>
        <v>3721</v>
      </c>
    </row>
    <row r="5" spans="1:6">
      <c r="A5" t="s">
        <v>199</v>
      </c>
    </row>
    <row r="6" spans="1:6">
      <c r="A6" t="s">
        <v>200</v>
      </c>
      <c r="C6" t="s">
        <v>483</v>
      </c>
      <c r="D6" s="106" t="s">
        <v>579</v>
      </c>
    </row>
    <row r="7" spans="1:6">
      <c r="A7" t="s">
        <v>201</v>
      </c>
      <c r="B7" t="s">
        <v>202</v>
      </c>
      <c r="C7">
        <v>3</v>
      </c>
      <c r="D7" s="106">
        <v>200</v>
      </c>
      <c r="E7" s="106">
        <f t="shared" ref="E7:E73" si="0">D7*C7</f>
        <v>600</v>
      </c>
    </row>
    <row r="8" spans="1:6">
      <c r="A8" t="s">
        <v>203</v>
      </c>
      <c r="E8" s="106">
        <f t="shared" si="0"/>
        <v>0</v>
      </c>
    </row>
    <row r="9" spans="1:6">
      <c r="A9" s="107" t="s">
        <v>204</v>
      </c>
      <c r="B9" s="107"/>
      <c r="C9" s="107"/>
      <c r="D9" s="108"/>
      <c r="E9" s="106">
        <f t="shared" si="0"/>
        <v>0</v>
      </c>
    </row>
    <row r="10" spans="1:6">
      <c r="A10" s="107" t="s">
        <v>205</v>
      </c>
      <c r="B10" s="107" t="s">
        <v>206</v>
      </c>
      <c r="C10" s="107">
        <v>6</v>
      </c>
      <c r="D10" s="108"/>
      <c r="E10" s="106">
        <f t="shared" si="0"/>
        <v>0</v>
      </c>
    </row>
    <row r="11" spans="1:6">
      <c r="A11" s="107" t="s">
        <v>207</v>
      </c>
      <c r="B11" s="107" t="s">
        <v>208</v>
      </c>
      <c r="C11" s="107">
        <v>4</v>
      </c>
      <c r="D11" s="108"/>
      <c r="E11" s="106">
        <f t="shared" si="0"/>
        <v>0</v>
      </c>
    </row>
    <row r="12" spans="1:6">
      <c r="A12" s="107" t="s">
        <v>209</v>
      </c>
      <c r="B12" s="107"/>
      <c r="C12" s="107"/>
      <c r="D12" s="108"/>
      <c r="E12" s="106">
        <f t="shared" si="0"/>
        <v>0</v>
      </c>
    </row>
    <row r="13" spans="1:6">
      <c r="A13" s="107" t="s">
        <v>210</v>
      </c>
      <c r="B13" s="107" t="s">
        <v>211</v>
      </c>
      <c r="C13" s="107">
        <v>1</v>
      </c>
      <c r="D13" s="108"/>
      <c r="E13" s="106">
        <f t="shared" si="0"/>
        <v>0</v>
      </c>
    </row>
    <row r="14" spans="1:6">
      <c r="A14" s="107" t="s">
        <v>212</v>
      </c>
      <c r="B14" s="107"/>
      <c r="C14" s="107"/>
      <c r="D14" s="108"/>
      <c r="E14" s="106">
        <f t="shared" si="0"/>
        <v>0</v>
      </c>
    </row>
    <row r="15" spans="1:6">
      <c r="A15" s="107" t="s">
        <v>72</v>
      </c>
      <c r="B15" s="107" t="s">
        <v>206</v>
      </c>
      <c r="C15" s="107">
        <v>6</v>
      </c>
      <c r="D15" s="108"/>
      <c r="E15" s="106">
        <f t="shared" si="0"/>
        <v>0</v>
      </c>
    </row>
    <row r="16" spans="1:6">
      <c r="A16" s="107" t="s">
        <v>213</v>
      </c>
      <c r="B16" s="107"/>
      <c r="C16" s="107"/>
      <c r="D16" s="108"/>
      <c r="E16" s="106">
        <f t="shared" si="0"/>
        <v>0</v>
      </c>
    </row>
    <row r="17" spans="1:5">
      <c r="A17" s="107" t="s">
        <v>72</v>
      </c>
      <c r="B17" s="107" t="s">
        <v>208</v>
      </c>
      <c r="C17" s="107">
        <v>4</v>
      </c>
      <c r="D17" s="108"/>
      <c r="E17" s="106">
        <f t="shared" si="0"/>
        <v>0</v>
      </c>
    </row>
    <row r="18" spans="1:5">
      <c r="A18" s="107" t="s">
        <v>214</v>
      </c>
      <c r="B18" s="107"/>
      <c r="C18" s="107"/>
      <c r="D18" s="108"/>
      <c r="E18" s="106">
        <f t="shared" si="0"/>
        <v>0</v>
      </c>
    </row>
    <row r="19" spans="1:5">
      <c r="A19" s="107" t="s">
        <v>215</v>
      </c>
      <c r="B19" s="107" t="s">
        <v>211</v>
      </c>
      <c r="C19" s="107">
        <v>1</v>
      </c>
      <c r="D19" s="108"/>
      <c r="E19" s="106">
        <f t="shared" si="0"/>
        <v>0</v>
      </c>
    </row>
    <row r="20" spans="1:5">
      <c r="A20" t="s">
        <v>216</v>
      </c>
      <c r="E20" s="106">
        <f t="shared" si="0"/>
        <v>0</v>
      </c>
    </row>
    <row r="21" spans="1:5">
      <c r="A21" t="s">
        <v>217</v>
      </c>
      <c r="E21" s="106">
        <f t="shared" si="0"/>
        <v>0</v>
      </c>
    </row>
    <row r="22" spans="1:5">
      <c r="A22" t="s">
        <v>218</v>
      </c>
      <c r="B22" t="s">
        <v>219</v>
      </c>
      <c r="C22">
        <v>2</v>
      </c>
      <c r="D22" s="106">
        <v>26</v>
      </c>
      <c r="E22" s="106">
        <f t="shared" si="0"/>
        <v>52</v>
      </c>
    </row>
    <row r="23" spans="1:5">
      <c r="A23" t="s">
        <v>215</v>
      </c>
      <c r="B23" t="s">
        <v>206</v>
      </c>
      <c r="C23">
        <v>6</v>
      </c>
      <c r="D23" s="106">
        <v>10</v>
      </c>
      <c r="E23" s="106">
        <f t="shared" si="0"/>
        <v>60</v>
      </c>
    </row>
    <row r="24" spans="1:5">
      <c r="A24" t="s">
        <v>220</v>
      </c>
      <c r="E24" s="106">
        <f t="shared" si="0"/>
        <v>0</v>
      </c>
    </row>
    <row r="25" spans="1:5">
      <c r="A25" t="s">
        <v>218</v>
      </c>
      <c r="B25" t="s">
        <v>219</v>
      </c>
      <c r="C25">
        <v>2</v>
      </c>
      <c r="D25" s="106">
        <v>26</v>
      </c>
      <c r="E25" s="106">
        <f t="shared" si="0"/>
        <v>52</v>
      </c>
    </row>
    <row r="26" spans="1:5">
      <c r="A26" t="s">
        <v>215</v>
      </c>
      <c r="B26" t="s">
        <v>219</v>
      </c>
      <c r="C26">
        <v>2</v>
      </c>
      <c r="D26" s="106">
        <v>10</v>
      </c>
      <c r="E26" s="106">
        <f t="shared" si="0"/>
        <v>20</v>
      </c>
    </row>
    <row r="27" spans="1:5">
      <c r="A27" t="s">
        <v>221</v>
      </c>
      <c r="B27" t="s">
        <v>206</v>
      </c>
      <c r="C27">
        <v>6</v>
      </c>
      <c r="D27" s="106">
        <v>10</v>
      </c>
      <c r="E27" s="106">
        <f t="shared" si="0"/>
        <v>60</v>
      </c>
    </row>
    <row r="28" spans="1:5">
      <c r="A28" t="s">
        <v>222</v>
      </c>
      <c r="E28" s="106">
        <f t="shared" si="0"/>
        <v>0</v>
      </c>
    </row>
    <row r="29" spans="1:5">
      <c r="A29" t="s">
        <v>215</v>
      </c>
      <c r="B29" t="s">
        <v>208</v>
      </c>
      <c r="C29">
        <v>4</v>
      </c>
      <c r="D29" s="106">
        <v>10</v>
      </c>
      <c r="E29" s="106">
        <f t="shared" si="0"/>
        <v>40</v>
      </c>
    </row>
    <row r="30" spans="1:5">
      <c r="A30" t="s">
        <v>221</v>
      </c>
      <c r="B30" t="s">
        <v>223</v>
      </c>
      <c r="C30">
        <v>13</v>
      </c>
      <c r="D30" s="106">
        <v>10</v>
      </c>
      <c r="E30" s="106">
        <f t="shared" si="0"/>
        <v>130</v>
      </c>
    </row>
    <row r="31" spans="1:5">
      <c r="A31" t="s">
        <v>224</v>
      </c>
      <c r="E31" s="106">
        <f t="shared" si="0"/>
        <v>0</v>
      </c>
    </row>
    <row r="32" spans="1:5">
      <c r="A32" t="s">
        <v>225</v>
      </c>
      <c r="B32" t="s">
        <v>219</v>
      </c>
      <c r="C32">
        <v>2</v>
      </c>
      <c r="D32" s="106">
        <v>28</v>
      </c>
      <c r="E32" s="106">
        <f t="shared" si="0"/>
        <v>56</v>
      </c>
    </row>
    <row r="33" spans="1:5">
      <c r="A33" t="s">
        <v>226</v>
      </c>
      <c r="E33" s="106">
        <f t="shared" si="0"/>
        <v>0</v>
      </c>
    </row>
    <row r="34" spans="1:5">
      <c r="A34" t="s">
        <v>227</v>
      </c>
      <c r="B34" t="s">
        <v>206</v>
      </c>
      <c r="C34">
        <v>6</v>
      </c>
      <c r="D34" s="106">
        <v>10</v>
      </c>
      <c r="E34" s="106">
        <f t="shared" si="0"/>
        <v>60</v>
      </c>
    </row>
    <row r="35" spans="1:5">
      <c r="A35" t="s">
        <v>228</v>
      </c>
      <c r="E35" s="106">
        <f t="shared" si="0"/>
        <v>0</v>
      </c>
    </row>
    <row r="36" spans="1:5">
      <c r="A36" t="s">
        <v>229</v>
      </c>
      <c r="B36" t="s">
        <v>211</v>
      </c>
      <c r="C36">
        <v>1</v>
      </c>
      <c r="D36" s="106">
        <v>15</v>
      </c>
      <c r="E36" s="106">
        <f t="shared" si="0"/>
        <v>15</v>
      </c>
    </row>
    <row r="37" spans="1:5">
      <c r="A37" t="s">
        <v>230</v>
      </c>
      <c r="E37" s="106">
        <f t="shared" si="0"/>
        <v>0</v>
      </c>
    </row>
    <row r="38" spans="1:5">
      <c r="A38" t="s">
        <v>215</v>
      </c>
      <c r="B38" t="s">
        <v>231</v>
      </c>
      <c r="C38">
        <v>18</v>
      </c>
      <c r="D38" s="106">
        <v>6</v>
      </c>
      <c r="E38" s="106">
        <f t="shared" si="0"/>
        <v>108</v>
      </c>
    </row>
    <row r="39" spans="1:5">
      <c r="A39" t="s">
        <v>232</v>
      </c>
      <c r="E39" s="106">
        <f t="shared" si="0"/>
        <v>0</v>
      </c>
    </row>
    <row r="40" spans="1:5">
      <c r="A40" t="s">
        <v>218</v>
      </c>
      <c r="B40" t="s">
        <v>233</v>
      </c>
      <c r="C40">
        <v>10</v>
      </c>
      <c r="D40" s="106">
        <v>10</v>
      </c>
      <c r="E40" s="106">
        <f t="shared" si="0"/>
        <v>100</v>
      </c>
    </row>
    <row r="41" spans="1:5">
      <c r="A41" t="s">
        <v>221</v>
      </c>
      <c r="B41" t="s">
        <v>234</v>
      </c>
      <c r="C41">
        <v>31</v>
      </c>
      <c r="D41" s="106">
        <v>6</v>
      </c>
      <c r="E41" s="106">
        <f t="shared" si="0"/>
        <v>186</v>
      </c>
    </row>
    <row r="42" spans="1:5">
      <c r="A42" t="s">
        <v>235</v>
      </c>
      <c r="E42" s="106">
        <f t="shared" si="0"/>
        <v>0</v>
      </c>
    </row>
    <row r="43" spans="1:5">
      <c r="A43" t="s">
        <v>215</v>
      </c>
      <c r="B43" t="s">
        <v>236</v>
      </c>
      <c r="C43">
        <v>1.5</v>
      </c>
      <c r="D43" s="106">
        <v>10</v>
      </c>
      <c r="E43" s="106">
        <f t="shared" si="0"/>
        <v>15</v>
      </c>
    </row>
    <row r="44" spans="1:5">
      <c r="A44" t="s">
        <v>237</v>
      </c>
      <c r="E44" s="106">
        <f t="shared" si="0"/>
        <v>0</v>
      </c>
    </row>
    <row r="45" spans="1:5">
      <c r="A45" t="s">
        <v>238</v>
      </c>
      <c r="B45" t="s">
        <v>239</v>
      </c>
      <c r="C45">
        <v>70</v>
      </c>
      <c r="D45" s="106">
        <v>20</v>
      </c>
      <c r="E45" s="106">
        <f t="shared" si="0"/>
        <v>1400</v>
      </c>
    </row>
    <row r="46" spans="1:5">
      <c r="A46" t="s">
        <v>215</v>
      </c>
      <c r="B46" t="s">
        <v>240</v>
      </c>
      <c r="C46">
        <v>10</v>
      </c>
      <c r="D46" s="106">
        <v>10</v>
      </c>
      <c r="E46" s="106">
        <f t="shared" si="0"/>
        <v>100</v>
      </c>
    </row>
    <row r="47" spans="1:5">
      <c r="A47" t="s">
        <v>241</v>
      </c>
      <c r="B47" t="s">
        <v>242</v>
      </c>
      <c r="C47">
        <v>25</v>
      </c>
      <c r="D47" s="106">
        <v>15</v>
      </c>
      <c r="E47" s="106">
        <f t="shared" si="0"/>
        <v>375</v>
      </c>
    </row>
    <row r="48" spans="1:5">
      <c r="A48" t="s">
        <v>243</v>
      </c>
      <c r="E48" s="106">
        <f t="shared" si="0"/>
        <v>0</v>
      </c>
    </row>
    <row r="49" spans="1:6">
      <c r="A49" t="s">
        <v>215</v>
      </c>
      <c r="B49" t="s">
        <v>219</v>
      </c>
      <c r="C49">
        <v>2</v>
      </c>
      <c r="D49" s="106">
        <v>15</v>
      </c>
      <c r="E49" s="106">
        <f t="shared" si="0"/>
        <v>30</v>
      </c>
    </row>
    <row r="50" spans="1:6">
      <c r="A50" t="s">
        <v>244</v>
      </c>
      <c r="E50" s="106">
        <f t="shared" si="0"/>
        <v>0</v>
      </c>
    </row>
    <row r="51" spans="1:6">
      <c r="A51" t="s">
        <v>225</v>
      </c>
      <c r="B51" t="s">
        <v>211</v>
      </c>
      <c r="C51">
        <v>1</v>
      </c>
      <c r="D51" s="106">
        <v>33</v>
      </c>
      <c r="E51" s="106">
        <f t="shared" si="0"/>
        <v>33</v>
      </c>
    </row>
    <row r="52" spans="1:6">
      <c r="A52" t="s">
        <v>245</v>
      </c>
      <c r="B52" t="s">
        <v>246</v>
      </c>
      <c r="C52">
        <v>5</v>
      </c>
      <c r="D52" s="106">
        <v>15</v>
      </c>
      <c r="E52" s="106">
        <f t="shared" si="0"/>
        <v>75</v>
      </c>
    </row>
    <row r="53" spans="1:6">
      <c r="A53" t="s">
        <v>247</v>
      </c>
      <c r="E53" s="106">
        <f t="shared" si="0"/>
        <v>0</v>
      </c>
    </row>
    <row r="54" spans="1:6">
      <c r="A54" t="s">
        <v>248</v>
      </c>
      <c r="E54" s="106">
        <f t="shared" si="0"/>
        <v>0</v>
      </c>
    </row>
    <row r="55" spans="1:6">
      <c r="A55" t="s">
        <v>218</v>
      </c>
      <c r="B55" t="s">
        <v>249</v>
      </c>
      <c r="C55">
        <v>7</v>
      </c>
      <c r="E55" s="106">
        <f t="shared" si="0"/>
        <v>0</v>
      </c>
    </row>
    <row r="56" spans="1:6">
      <c r="A56" t="s">
        <v>250</v>
      </c>
      <c r="E56" s="106">
        <f t="shared" si="0"/>
        <v>0</v>
      </c>
    </row>
    <row r="57" spans="1:6">
      <c r="A57" t="s">
        <v>251</v>
      </c>
      <c r="B57" t="s">
        <v>249</v>
      </c>
      <c r="C57">
        <v>7</v>
      </c>
      <c r="D57" s="106">
        <v>22</v>
      </c>
      <c r="E57" s="106">
        <f t="shared" si="0"/>
        <v>154</v>
      </c>
    </row>
    <row r="60" spans="1:6">
      <c r="A60" t="s">
        <v>584</v>
      </c>
      <c r="F60" s="95">
        <f>SUM(E61:E100)</f>
        <v>7689.98</v>
      </c>
    </row>
    <row r="61" spans="1:6">
      <c r="A61" t="s">
        <v>252</v>
      </c>
      <c r="E61" s="106">
        <f t="shared" si="0"/>
        <v>0</v>
      </c>
    </row>
    <row r="62" spans="1:6">
      <c r="A62" t="s">
        <v>582</v>
      </c>
      <c r="E62" s="106">
        <f t="shared" si="0"/>
        <v>0</v>
      </c>
    </row>
    <row r="63" spans="1:6">
      <c r="A63" t="s">
        <v>253</v>
      </c>
      <c r="B63" t="s">
        <v>202</v>
      </c>
      <c r="C63">
        <v>3</v>
      </c>
      <c r="D63" s="106">
        <v>450</v>
      </c>
      <c r="E63" s="106">
        <f t="shared" si="0"/>
        <v>1350</v>
      </c>
    </row>
    <row r="64" spans="1:6">
      <c r="A64" t="s">
        <v>583</v>
      </c>
      <c r="B64" t="s">
        <v>581</v>
      </c>
      <c r="C64">
        <v>2</v>
      </c>
      <c r="D64" s="106">
        <v>350</v>
      </c>
      <c r="E64" s="106">
        <f t="shared" si="0"/>
        <v>700</v>
      </c>
    </row>
    <row r="65" spans="1:5">
      <c r="A65" t="s">
        <v>580</v>
      </c>
      <c r="E65" s="106">
        <f t="shared" si="0"/>
        <v>0</v>
      </c>
    </row>
    <row r="66" spans="1:5">
      <c r="A66" t="s">
        <v>254</v>
      </c>
      <c r="B66" t="s">
        <v>246</v>
      </c>
      <c r="C66">
        <v>5</v>
      </c>
      <c r="D66" s="106">
        <v>250</v>
      </c>
      <c r="E66" s="106">
        <f t="shared" si="0"/>
        <v>1250</v>
      </c>
    </row>
    <row r="67" spans="1:5">
      <c r="A67" t="s">
        <v>255</v>
      </c>
      <c r="E67" s="106">
        <f t="shared" si="0"/>
        <v>0</v>
      </c>
    </row>
    <row r="68" spans="1:5">
      <c r="A68" t="s">
        <v>69</v>
      </c>
      <c r="B68" t="s">
        <v>208</v>
      </c>
      <c r="C68">
        <v>4</v>
      </c>
      <c r="D68" s="106">
        <v>401.08</v>
      </c>
      <c r="E68" s="106">
        <f t="shared" si="0"/>
        <v>1604.32</v>
      </c>
    </row>
    <row r="69" spans="1:5">
      <c r="A69" t="s">
        <v>256</v>
      </c>
      <c r="E69" s="106">
        <f t="shared" si="0"/>
        <v>0</v>
      </c>
    </row>
    <row r="70" spans="1:5">
      <c r="A70" t="s">
        <v>257</v>
      </c>
      <c r="E70" s="106">
        <f t="shared" si="0"/>
        <v>0</v>
      </c>
    </row>
    <row r="71" spans="1:5">
      <c r="A71" t="s">
        <v>131</v>
      </c>
      <c r="B71" t="s">
        <v>219</v>
      </c>
      <c r="C71">
        <v>2</v>
      </c>
      <c r="D71" s="106">
        <v>30</v>
      </c>
      <c r="E71" s="106">
        <f t="shared" si="0"/>
        <v>60</v>
      </c>
    </row>
    <row r="72" spans="1:5">
      <c r="A72" t="s">
        <v>258</v>
      </c>
      <c r="E72" s="106">
        <f t="shared" si="0"/>
        <v>0</v>
      </c>
    </row>
    <row r="73" spans="1:5">
      <c r="A73" t="s">
        <v>259</v>
      </c>
      <c r="E73" s="106">
        <f t="shared" si="0"/>
        <v>0</v>
      </c>
    </row>
    <row r="74" spans="1:5">
      <c r="A74" t="s">
        <v>67</v>
      </c>
      <c r="B74" t="s">
        <v>208</v>
      </c>
      <c r="C74">
        <v>4</v>
      </c>
      <c r="E74" s="106">
        <f t="shared" ref="E74:E96" si="1">D74*C74</f>
        <v>0</v>
      </c>
    </row>
    <row r="75" spans="1:5">
      <c r="A75" t="s">
        <v>260</v>
      </c>
      <c r="E75" s="106">
        <f t="shared" si="1"/>
        <v>0</v>
      </c>
    </row>
    <row r="76" spans="1:5">
      <c r="A76" t="s">
        <v>261</v>
      </c>
      <c r="B76" t="s">
        <v>208</v>
      </c>
      <c r="C76">
        <v>4</v>
      </c>
      <c r="E76" s="106">
        <f t="shared" si="1"/>
        <v>0</v>
      </c>
    </row>
    <row r="77" spans="1:5">
      <c r="A77" t="s">
        <v>262</v>
      </c>
      <c r="E77" s="106">
        <f t="shared" si="1"/>
        <v>0</v>
      </c>
    </row>
    <row r="78" spans="1:5">
      <c r="A78" t="s">
        <v>261</v>
      </c>
      <c r="B78" t="s">
        <v>249</v>
      </c>
      <c r="C78">
        <v>7</v>
      </c>
      <c r="E78" s="106">
        <f t="shared" si="1"/>
        <v>0</v>
      </c>
    </row>
    <row r="79" spans="1:5">
      <c r="A79" t="s">
        <v>263</v>
      </c>
      <c r="E79" s="106">
        <f t="shared" si="1"/>
        <v>0</v>
      </c>
    </row>
    <row r="80" spans="1:5">
      <c r="A80" t="s">
        <v>264</v>
      </c>
      <c r="E80" s="106">
        <f t="shared" si="1"/>
        <v>0</v>
      </c>
    </row>
    <row r="81" spans="1:5">
      <c r="A81" t="s">
        <v>254</v>
      </c>
      <c r="B81" t="s">
        <v>208</v>
      </c>
      <c r="C81">
        <v>4</v>
      </c>
      <c r="D81" s="106">
        <v>5</v>
      </c>
      <c r="E81" s="106">
        <f t="shared" si="1"/>
        <v>20</v>
      </c>
    </row>
    <row r="82" spans="1:5">
      <c r="A82" t="s">
        <v>265</v>
      </c>
      <c r="B82" t="s">
        <v>211</v>
      </c>
      <c r="C82">
        <v>1</v>
      </c>
      <c r="D82" s="106">
        <v>5</v>
      </c>
      <c r="E82" s="106">
        <f t="shared" si="1"/>
        <v>5</v>
      </c>
    </row>
    <row r="83" spans="1:5">
      <c r="A83" t="s">
        <v>266</v>
      </c>
      <c r="E83" s="106">
        <f t="shared" si="1"/>
        <v>0</v>
      </c>
    </row>
    <row r="84" spans="1:5">
      <c r="A84" t="s">
        <v>267</v>
      </c>
      <c r="E84" s="106">
        <f t="shared" si="1"/>
        <v>0</v>
      </c>
    </row>
    <row r="85" spans="1:5">
      <c r="A85" t="s">
        <v>268</v>
      </c>
      <c r="B85" t="s">
        <v>208</v>
      </c>
      <c r="C85">
        <v>4</v>
      </c>
      <c r="D85" s="106">
        <v>10</v>
      </c>
      <c r="E85" s="106">
        <f t="shared" si="1"/>
        <v>40</v>
      </c>
    </row>
    <row r="86" spans="1:5">
      <c r="A86" t="s">
        <v>269</v>
      </c>
      <c r="E86" s="106">
        <f t="shared" si="1"/>
        <v>0</v>
      </c>
    </row>
    <row r="87" spans="1:5">
      <c r="A87" t="s">
        <v>270</v>
      </c>
      <c r="B87" t="s">
        <v>233</v>
      </c>
      <c r="C87">
        <v>10</v>
      </c>
      <c r="D87" s="106">
        <v>6</v>
      </c>
      <c r="E87" s="106">
        <f t="shared" si="1"/>
        <v>60</v>
      </c>
    </row>
    <row r="88" spans="1:5">
      <c r="A88" t="s">
        <v>271</v>
      </c>
      <c r="E88" s="106">
        <f t="shared" si="1"/>
        <v>0</v>
      </c>
    </row>
    <row r="89" spans="1:5">
      <c r="A89" t="s">
        <v>270</v>
      </c>
      <c r="B89" t="s">
        <v>272</v>
      </c>
      <c r="C89">
        <v>70</v>
      </c>
      <c r="D89" s="106">
        <v>36.049999999999997</v>
      </c>
      <c r="E89" s="106">
        <f t="shared" si="1"/>
        <v>2523.5</v>
      </c>
    </row>
    <row r="90" spans="1:5">
      <c r="A90" t="s">
        <v>273</v>
      </c>
      <c r="E90" s="106">
        <f t="shared" si="1"/>
        <v>0</v>
      </c>
    </row>
    <row r="91" spans="1:5">
      <c r="A91" t="s">
        <v>274</v>
      </c>
      <c r="E91" s="106">
        <f t="shared" si="1"/>
        <v>0</v>
      </c>
    </row>
    <row r="92" spans="1:5">
      <c r="A92" t="s">
        <v>268</v>
      </c>
      <c r="B92" t="s">
        <v>211</v>
      </c>
      <c r="C92">
        <v>1</v>
      </c>
      <c r="D92" s="106">
        <v>7.61</v>
      </c>
      <c r="E92" s="106">
        <f t="shared" si="1"/>
        <v>7.61</v>
      </c>
    </row>
    <row r="93" spans="1:5">
      <c r="A93" t="s">
        <v>275</v>
      </c>
      <c r="E93" s="106">
        <f t="shared" si="1"/>
        <v>0</v>
      </c>
    </row>
    <row r="94" spans="1:5">
      <c r="A94" t="s">
        <v>276</v>
      </c>
      <c r="B94" t="s">
        <v>246</v>
      </c>
      <c r="C94">
        <v>5</v>
      </c>
      <c r="D94" s="106">
        <v>7.61</v>
      </c>
      <c r="E94" s="106">
        <f t="shared" si="1"/>
        <v>38.050000000000004</v>
      </c>
    </row>
    <row r="95" spans="1:5">
      <c r="A95" t="s">
        <v>277</v>
      </c>
      <c r="E95" s="106">
        <f t="shared" si="1"/>
        <v>0</v>
      </c>
    </row>
    <row r="96" spans="1:5">
      <c r="A96" t="s">
        <v>278</v>
      </c>
      <c r="B96" t="s">
        <v>219</v>
      </c>
      <c r="C96">
        <v>2</v>
      </c>
      <c r="D96" s="106">
        <v>10.5</v>
      </c>
      <c r="E96" s="106">
        <f t="shared" si="1"/>
        <v>21</v>
      </c>
    </row>
    <row r="97" spans="1:5">
      <c r="A97" t="s">
        <v>279</v>
      </c>
    </row>
    <row r="98" spans="1:5">
      <c r="A98" t="s">
        <v>280</v>
      </c>
      <c r="B98" t="s">
        <v>211</v>
      </c>
      <c r="C98">
        <v>1</v>
      </c>
      <c r="D98" s="106">
        <v>10.5</v>
      </c>
      <c r="E98" s="106">
        <f>D98*C98</f>
        <v>10.5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dimension ref="A2:Q103"/>
  <sheetViews>
    <sheetView topLeftCell="A34" workbookViewId="0">
      <selection activeCell="B41" sqref="B41"/>
    </sheetView>
  </sheetViews>
  <sheetFormatPr defaultRowHeight="15"/>
  <cols>
    <col min="2" max="2" width="14.5703125" customWidth="1"/>
  </cols>
  <sheetData>
    <row r="2" spans="2:15">
      <c r="D2" t="s">
        <v>482</v>
      </c>
      <c r="E2" t="s">
        <v>483</v>
      </c>
      <c r="F2" t="s">
        <v>484</v>
      </c>
      <c r="G2" t="s">
        <v>485</v>
      </c>
      <c r="H2" t="s">
        <v>486</v>
      </c>
      <c r="I2" t="s">
        <v>485</v>
      </c>
      <c r="J2">
        <v>6</v>
      </c>
      <c r="K2">
        <v>17</v>
      </c>
      <c r="L2">
        <v>5</v>
      </c>
      <c r="M2">
        <v>6.3</v>
      </c>
      <c r="N2">
        <v>10</v>
      </c>
      <c r="O2">
        <v>12.5</v>
      </c>
    </row>
    <row r="3" spans="2:15">
      <c r="B3" t="s">
        <v>481</v>
      </c>
      <c r="C3">
        <v>1</v>
      </c>
      <c r="D3">
        <v>5</v>
      </c>
      <c r="E3">
        <v>34</v>
      </c>
      <c r="F3">
        <v>151</v>
      </c>
      <c r="G3">
        <f>F3*E3</f>
        <v>5134</v>
      </c>
      <c r="H3">
        <f>J3</f>
        <v>0.35294117647058826</v>
      </c>
      <c r="I3">
        <f>H3*G3/100</f>
        <v>18.12</v>
      </c>
      <c r="J3">
        <f>J2/K2</f>
        <v>0.35294117647058826</v>
      </c>
      <c r="L3">
        <f>IF(D3=$L$2,I3,0)</f>
        <v>18.12</v>
      </c>
      <c r="M3">
        <f>IF(D3=$M$2,I3,0)</f>
        <v>0</v>
      </c>
      <c r="N3">
        <f>IF(D3=$N$2,I3,0)</f>
        <v>0</v>
      </c>
      <c r="O3">
        <f>IF(D3=$O$2,I3,0)</f>
        <v>0</v>
      </c>
    </row>
    <row r="4" spans="2:15">
      <c r="C4">
        <v>2</v>
      </c>
      <c r="D4">
        <v>10</v>
      </c>
      <c r="E4">
        <v>34</v>
      </c>
      <c r="F4">
        <v>143</v>
      </c>
      <c r="G4">
        <f t="shared" ref="G4:G5" si="0">F4*E4</f>
        <v>4862</v>
      </c>
      <c r="H4">
        <f>H3</f>
        <v>0.35294117647058826</v>
      </c>
      <c r="I4">
        <f t="shared" ref="I4:I5" si="1">H4*G4/100</f>
        <v>17.16</v>
      </c>
      <c r="L4">
        <f t="shared" ref="L4:L16" si="2">IF(D4=$L$2,I4,0)</f>
        <v>0</v>
      </c>
      <c r="M4">
        <f t="shared" ref="M4:M16" si="3">IF(D4=$M$2,I4,0)</f>
        <v>0</v>
      </c>
      <c r="N4">
        <f t="shared" ref="N4:N16" si="4">IF(D4=$N$2,I4,0)</f>
        <v>17.16</v>
      </c>
      <c r="O4">
        <f t="shared" ref="O4:O16" si="5">IF(D4=$O$2,I4,0)</f>
        <v>0</v>
      </c>
    </row>
    <row r="5" spans="2:15">
      <c r="C5">
        <v>3</v>
      </c>
      <c r="D5">
        <v>10</v>
      </c>
      <c r="E5">
        <v>34</v>
      </c>
      <c r="F5">
        <v>145</v>
      </c>
      <c r="G5">
        <f t="shared" si="0"/>
        <v>4930</v>
      </c>
      <c r="H5">
        <f>H4</f>
        <v>0.35294117647058826</v>
      </c>
      <c r="I5">
        <f t="shared" si="1"/>
        <v>17.399999999999999</v>
      </c>
      <c r="L5">
        <f t="shared" si="2"/>
        <v>0</v>
      </c>
      <c r="M5">
        <f t="shared" si="3"/>
        <v>0</v>
      </c>
      <c r="N5">
        <f t="shared" si="4"/>
        <v>17.399999999999999</v>
      </c>
      <c r="O5">
        <f t="shared" si="5"/>
        <v>0</v>
      </c>
    </row>
    <row r="6" spans="2:15">
      <c r="L6">
        <f t="shared" si="2"/>
        <v>0</v>
      </c>
      <c r="M6">
        <f t="shared" si="3"/>
        <v>0</v>
      </c>
      <c r="N6">
        <f t="shared" si="4"/>
        <v>0</v>
      </c>
      <c r="O6">
        <f t="shared" si="5"/>
        <v>0</v>
      </c>
    </row>
    <row r="7" spans="2:15">
      <c r="L7">
        <f t="shared" si="2"/>
        <v>0</v>
      </c>
      <c r="M7">
        <f t="shared" si="3"/>
        <v>0</v>
      </c>
      <c r="N7">
        <f t="shared" si="4"/>
        <v>0</v>
      </c>
      <c r="O7">
        <f t="shared" si="5"/>
        <v>0</v>
      </c>
    </row>
    <row r="8" spans="2:15">
      <c r="B8" t="s">
        <v>487</v>
      </c>
      <c r="C8">
        <v>1</v>
      </c>
      <c r="D8">
        <v>5</v>
      </c>
      <c r="E8">
        <v>42</v>
      </c>
      <c r="F8">
        <v>311</v>
      </c>
      <c r="G8">
        <f t="shared" ref="G8:G11" si="6">F8*E8</f>
        <v>13062</v>
      </c>
      <c r="I8">
        <f>G8/100</f>
        <v>130.62</v>
      </c>
      <c r="J8">
        <v>14</v>
      </c>
      <c r="L8">
        <f t="shared" si="2"/>
        <v>130.62</v>
      </c>
      <c r="M8">
        <f t="shared" si="3"/>
        <v>0</v>
      </c>
      <c r="N8">
        <f t="shared" si="4"/>
        <v>0</v>
      </c>
      <c r="O8">
        <f t="shared" si="5"/>
        <v>0</v>
      </c>
    </row>
    <row r="9" spans="2:15">
      <c r="C9">
        <v>2</v>
      </c>
      <c r="D9">
        <v>6.3</v>
      </c>
      <c r="E9">
        <v>28</v>
      </c>
      <c r="F9">
        <v>128</v>
      </c>
      <c r="G9">
        <f t="shared" si="6"/>
        <v>3584</v>
      </c>
      <c r="I9">
        <f t="shared" ref="I9:I11" si="7">G9/100</f>
        <v>35.840000000000003</v>
      </c>
      <c r="L9">
        <f t="shared" si="2"/>
        <v>0</v>
      </c>
      <c r="M9">
        <f t="shared" si="3"/>
        <v>35.840000000000003</v>
      </c>
      <c r="N9">
        <f t="shared" si="4"/>
        <v>0</v>
      </c>
      <c r="O9">
        <f t="shared" si="5"/>
        <v>0</v>
      </c>
    </row>
    <row r="10" spans="2:15">
      <c r="C10">
        <v>3</v>
      </c>
      <c r="D10">
        <v>12.5</v>
      </c>
      <c r="E10">
        <v>42</v>
      </c>
      <c r="F10">
        <v>189</v>
      </c>
      <c r="G10">
        <f t="shared" si="6"/>
        <v>7938</v>
      </c>
      <c r="I10">
        <f t="shared" si="7"/>
        <v>79.38</v>
      </c>
      <c r="L10">
        <f t="shared" si="2"/>
        <v>0</v>
      </c>
      <c r="M10">
        <f t="shared" si="3"/>
        <v>0</v>
      </c>
      <c r="N10">
        <f t="shared" si="4"/>
        <v>0</v>
      </c>
      <c r="O10">
        <f t="shared" si="5"/>
        <v>79.38</v>
      </c>
    </row>
    <row r="11" spans="2:15">
      <c r="C11">
        <v>4</v>
      </c>
      <c r="D11">
        <v>6.3</v>
      </c>
      <c r="E11">
        <v>84</v>
      </c>
      <c r="F11">
        <v>158</v>
      </c>
      <c r="G11">
        <f t="shared" si="6"/>
        <v>13272</v>
      </c>
      <c r="I11">
        <f t="shared" si="7"/>
        <v>132.72</v>
      </c>
      <c r="L11">
        <f t="shared" si="2"/>
        <v>0</v>
      </c>
      <c r="M11">
        <f t="shared" si="3"/>
        <v>132.72</v>
      </c>
      <c r="N11">
        <f t="shared" si="4"/>
        <v>0</v>
      </c>
      <c r="O11">
        <f t="shared" si="5"/>
        <v>0</v>
      </c>
    </row>
    <row r="12" spans="2:15">
      <c r="L12">
        <f t="shared" si="2"/>
        <v>0</v>
      </c>
      <c r="M12">
        <f t="shared" si="3"/>
        <v>0</v>
      </c>
      <c r="N12">
        <f t="shared" si="4"/>
        <v>0</v>
      </c>
      <c r="O12">
        <f t="shared" si="5"/>
        <v>0</v>
      </c>
    </row>
    <row r="13" spans="2:15">
      <c r="B13" t="s">
        <v>488</v>
      </c>
      <c r="C13">
        <v>1</v>
      </c>
      <c r="D13">
        <v>8</v>
      </c>
      <c r="G13">
        <v>17388</v>
      </c>
      <c r="H13">
        <f>J13</f>
        <v>0.7142857142857143</v>
      </c>
      <c r="I13">
        <f>G13*H13/100</f>
        <v>124.2</v>
      </c>
      <c r="J13">
        <f>5/7</f>
        <v>0.7142857142857143</v>
      </c>
      <c r="L13">
        <f t="shared" si="2"/>
        <v>0</v>
      </c>
      <c r="M13">
        <f t="shared" si="3"/>
        <v>0</v>
      </c>
      <c r="N13">
        <f t="shared" si="4"/>
        <v>0</v>
      </c>
      <c r="O13">
        <f t="shared" si="5"/>
        <v>0</v>
      </c>
    </row>
    <row r="14" spans="2:15">
      <c r="C14">
        <v>2</v>
      </c>
      <c r="D14">
        <v>6.3</v>
      </c>
      <c r="G14">
        <v>12516</v>
      </c>
      <c r="H14">
        <f>H13</f>
        <v>0.7142857142857143</v>
      </c>
      <c r="I14">
        <f t="shared" ref="I14:I16" si="8">G14*H14/100</f>
        <v>89.4</v>
      </c>
      <c r="L14">
        <f t="shared" si="2"/>
        <v>0</v>
      </c>
      <c r="M14">
        <f t="shared" si="3"/>
        <v>89.4</v>
      </c>
      <c r="N14">
        <f t="shared" si="4"/>
        <v>0</v>
      </c>
      <c r="O14">
        <f t="shared" si="5"/>
        <v>0</v>
      </c>
    </row>
    <row r="15" spans="2:15">
      <c r="C15">
        <v>3</v>
      </c>
      <c r="D15">
        <v>5</v>
      </c>
      <c r="G15">
        <v>10500</v>
      </c>
      <c r="H15">
        <f t="shared" ref="H15:H16" si="9">H14</f>
        <v>0.7142857142857143</v>
      </c>
      <c r="I15">
        <f t="shared" si="8"/>
        <v>75</v>
      </c>
      <c r="L15">
        <f t="shared" si="2"/>
        <v>75</v>
      </c>
      <c r="M15">
        <f t="shared" si="3"/>
        <v>0</v>
      </c>
      <c r="N15">
        <f t="shared" si="4"/>
        <v>0</v>
      </c>
      <c r="O15">
        <f t="shared" si="5"/>
        <v>0</v>
      </c>
    </row>
    <row r="16" spans="2:15">
      <c r="C16">
        <v>4</v>
      </c>
      <c r="D16">
        <v>5</v>
      </c>
      <c r="G16">
        <v>14406</v>
      </c>
      <c r="H16">
        <f t="shared" si="9"/>
        <v>0.7142857142857143</v>
      </c>
      <c r="I16">
        <f t="shared" si="8"/>
        <v>102.9</v>
      </c>
      <c r="L16">
        <f t="shared" si="2"/>
        <v>102.9</v>
      </c>
      <c r="M16">
        <f t="shared" si="3"/>
        <v>0</v>
      </c>
      <c r="N16">
        <f t="shared" si="4"/>
        <v>0</v>
      </c>
      <c r="O16">
        <f t="shared" si="5"/>
        <v>0</v>
      </c>
    </row>
    <row r="18" spans="2:17">
      <c r="L18">
        <f>SUM(L2:L16)</f>
        <v>331.64</v>
      </c>
      <c r="M18">
        <f t="shared" ref="M18:O18" si="10">SUM(M2:M16)</f>
        <v>264.26</v>
      </c>
      <c r="N18">
        <f t="shared" si="10"/>
        <v>44.56</v>
      </c>
      <c r="O18">
        <f t="shared" si="10"/>
        <v>91.88</v>
      </c>
    </row>
    <row r="19" spans="2:17">
      <c r="L19">
        <f>66/431</f>
        <v>0.1531322505800464</v>
      </c>
      <c r="M19">
        <f>113/461</f>
        <v>0.24511930585683298</v>
      </c>
      <c r="N19">
        <f>69/174</f>
        <v>0.39655172413793105</v>
      </c>
      <c r="O19">
        <f>76/79</f>
        <v>0.96202531645569622</v>
      </c>
    </row>
    <row r="20" spans="2:17">
      <c r="L20">
        <f>L18*L19</f>
        <v>50.784779582366582</v>
      </c>
      <c r="M20">
        <f t="shared" ref="M20:O20" si="11">M18*M19</f>
        <v>64.775227765726683</v>
      </c>
      <c r="N20">
        <f t="shared" si="11"/>
        <v>17.670344827586209</v>
      </c>
      <c r="O20">
        <f t="shared" si="11"/>
        <v>88.390886075949368</v>
      </c>
      <c r="Q20">
        <f>SUM(L20:O20)</f>
        <v>221.62123825162885</v>
      </c>
    </row>
    <row r="24" spans="2:17">
      <c r="B24" t="s">
        <v>491</v>
      </c>
      <c r="C24">
        <v>16</v>
      </c>
    </row>
    <row r="25" spans="2:17">
      <c r="B25" t="s">
        <v>492</v>
      </c>
      <c r="C25">
        <f>1.2+2+2</f>
        <v>5.2</v>
      </c>
    </row>
    <row r="26" spans="2:17">
      <c r="B26" t="s">
        <v>493</v>
      </c>
      <c r="C26">
        <f>4</f>
        <v>4</v>
      </c>
    </row>
    <row r="27" spans="2:17">
      <c r="B27" t="s">
        <v>494</v>
      </c>
      <c r="C27">
        <v>2</v>
      </c>
    </row>
    <row r="28" spans="2:17">
      <c r="B28" t="s">
        <v>495</v>
      </c>
      <c r="C28">
        <v>6</v>
      </c>
    </row>
    <row r="29" spans="2:17">
      <c r="B29" t="s">
        <v>496</v>
      </c>
      <c r="C29">
        <f>7+4+3.5</f>
        <v>14.5</v>
      </c>
    </row>
    <row r="30" spans="2:17">
      <c r="B30" t="s">
        <v>497</v>
      </c>
      <c r="C30">
        <v>17</v>
      </c>
    </row>
    <row r="31" spans="2:17">
      <c r="B31" t="s">
        <v>498</v>
      </c>
      <c r="C31">
        <v>13</v>
      </c>
    </row>
    <row r="32" spans="2:17">
      <c r="B32" t="s">
        <v>499</v>
      </c>
      <c r="C32">
        <f>C31</f>
        <v>13</v>
      </c>
    </row>
    <row r="33" spans="2:6">
      <c r="B33" t="s">
        <v>500</v>
      </c>
      <c r="C33">
        <f>C32</f>
        <v>13</v>
      </c>
    </row>
    <row r="34" spans="2:6">
      <c r="B34" t="s">
        <v>501</v>
      </c>
      <c r="C34">
        <f>4.5*3</f>
        <v>13.5</v>
      </c>
    </row>
    <row r="35" spans="2:6">
      <c r="C35">
        <f>SUM(C24:C34)</f>
        <v>117.2</v>
      </c>
      <c r="D35">
        <v>0.15</v>
      </c>
      <c r="E35">
        <v>0.4</v>
      </c>
    </row>
    <row r="37" spans="2:6">
      <c r="C37">
        <f>C35*D35*E35</f>
        <v>7.032</v>
      </c>
      <c r="D37" t="s">
        <v>502</v>
      </c>
    </row>
    <row r="40" spans="2:6">
      <c r="B40" t="s">
        <v>505</v>
      </c>
      <c r="E40" s="102" t="s">
        <v>521</v>
      </c>
      <c r="F40" t="s">
        <v>523</v>
      </c>
    </row>
    <row r="41" spans="2:6">
      <c r="B41" t="s">
        <v>506</v>
      </c>
      <c r="C41">
        <v>1.4</v>
      </c>
      <c r="D41">
        <v>0.4</v>
      </c>
      <c r="E41">
        <v>2</v>
      </c>
      <c r="F41">
        <f>C41*D41*E41</f>
        <v>1.1199999999999999</v>
      </c>
    </row>
    <row r="42" spans="2:6">
      <c r="B42" t="s">
        <v>507</v>
      </c>
      <c r="C42">
        <v>1</v>
      </c>
      <c r="D42">
        <v>0.4</v>
      </c>
      <c r="E42">
        <v>1</v>
      </c>
      <c r="F42">
        <f t="shared" ref="F42:F62" si="12">C42*D42*E42</f>
        <v>0.4</v>
      </c>
    </row>
    <row r="43" spans="2:6">
      <c r="B43" t="s">
        <v>508</v>
      </c>
      <c r="C43">
        <v>3</v>
      </c>
      <c r="D43">
        <v>1</v>
      </c>
      <c r="E43">
        <v>1</v>
      </c>
      <c r="F43">
        <f t="shared" si="12"/>
        <v>3</v>
      </c>
    </row>
    <row r="44" spans="2:6">
      <c r="B44" t="s">
        <v>509</v>
      </c>
      <c r="C44">
        <v>2</v>
      </c>
      <c r="D44">
        <v>1</v>
      </c>
      <c r="E44">
        <v>2</v>
      </c>
      <c r="F44">
        <f t="shared" si="12"/>
        <v>4</v>
      </c>
    </row>
    <row r="45" spans="2:6">
      <c r="F45">
        <f t="shared" si="12"/>
        <v>0</v>
      </c>
    </row>
    <row r="46" spans="2:6">
      <c r="B46" t="s">
        <v>510</v>
      </c>
      <c r="C46">
        <v>3</v>
      </c>
      <c r="D46">
        <v>1</v>
      </c>
      <c r="E46">
        <v>1</v>
      </c>
      <c r="F46">
        <f t="shared" si="12"/>
        <v>3</v>
      </c>
    </row>
    <row r="47" spans="2:6">
      <c r="B47" t="s">
        <v>511</v>
      </c>
      <c r="C47">
        <v>2.5</v>
      </c>
      <c r="D47">
        <v>1</v>
      </c>
      <c r="E47">
        <v>1</v>
      </c>
      <c r="F47">
        <f t="shared" si="12"/>
        <v>2.5</v>
      </c>
    </row>
    <row r="48" spans="2:6">
      <c r="B48" t="s">
        <v>512</v>
      </c>
      <c r="C48">
        <v>7.3</v>
      </c>
      <c r="D48">
        <v>1.2</v>
      </c>
      <c r="E48">
        <v>1</v>
      </c>
      <c r="F48">
        <f t="shared" si="12"/>
        <v>8.76</v>
      </c>
    </row>
    <row r="49" spans="2:8">
      <c r="B49" t="s">
        <v>517</v>
      </c>
      <c r="C49">
        <v>6</v>
      </c>
      <c r="D49">
        <v>1</v>
      </c>
      <c r="E49">
        <v>1</v>
      </c>
      <c r="F49">
        <f t="shared" si="12"/>
        <v>6</v>
      </c>
    </row>
    <row r="50" spans="2:8">
      <c r="B50" t="s">
        <v>510</v>
      </c>
      <c r="C50">
        <v>3</v>
      </c>
      <c r="D50">
        <v>1</v>
      </c>
      <c r="E50">
        <v>1</v>
      </c>
      <c r="F50">
        <f t="shared" si="12"/>
        <v>3</v>
      </c>
    </row>
    <row r="51" spans="2:8">
      <c r="B51" t="s">
        <v>520</v>
      </c>
      <c r="C51">
        <v>1</v>
      </c>
      <c r="D51">
        <v>2.7</v>
      </c>
      <c r="E51">
        <v>1</v>
      </c>
      <c r="F51">
        <f t="shared" si="12"/>
        <v>2.7</v>
      </c>
    </row>
    <row r="52" spans="2:8">
      <c r="F52">
        <f t="shared" si="12"/>
        <v>0</v>
      </c>
    </row>
    <row r="53" spans="2:8">
      <c r="F53">
        <f t="shared" si="12"/>
        <v>0</v>
      </c>
    </row>
    <row r="54" spans="2:8">
      <c r="F54">
        <f t="shared" si="12"/>
        <v>0</v>
      </c>
    </row>
    <row r="55" spans="2:8">
      <c r="B55" t="s">
        <v>518</v>
      </c>
      <c r="C55">
        <v>6</v>
      </c>
      <c r="D55">
        <v>2.7</v>
      </c>
      <c r="E55">
        <v>1</v>
      </c>
      <c r="F55">
        <f t="shared" si="12"/>
        <v>16.200000000000003</v>
      </c>
    </row>
    <row r="56" spans="2:8">
      <c r="B56" t="s">
        <v>519</v>
      </c>
      <c r="C56">
        <v>8.5</v>
      </c>
      <c r="D56">
        <v>2.7</v>
      </c>
      <c r="E56">
        <v>1</v>
      </c>
      <c r="F56">
        <f t="shared" si="12"/>
        <v>22.950000000000003</v>
      </c>
    </row>
    <row r="57" spans="2:8">
      <c r="B57" t="s">
        <v>513</v>
      </c>
      <c r="C57">
        <v>0.8</v>
      </c>
      <c r="D57">
        <v>2.1</v>
      </c>
      <c r="E57">
        <v>3</v>
      </c>
      <c r="F57">
        <f t="shared" si="12"/>
        <v>5.0400000000000009</v>
      </c>
    </row>
    <row r="58" spans="2:8">
      <c r="B58" t="s">
        <v>514</v>
      </c>
      <c r="C58">
        <v>2.5</v>
      </c>
      <c r="D58">
        <v>2.7</v>
      </c>
      <c r="E58">
        <v>1</v>
      </c>
      <c r="F58">
        <f t="shared" si="12"/>
        <v>6.75</v>
      </c>
      <c r="H58">
        <f>F58</f>
        <v>6.75</v>
      </c>
    </row>
    <row r="59" spans="2:8">
      <c r="B59" t="s">
        <v>515</v>
      </c>
      <c r="C59">
        <v>6</v>
      </c>
      <c r="D59">
        <v>2.5</v>
      </c>
      <c r="E59">
        <v>1</v>
      </c>
      <c r="F59">
        <f t="shared" si="12"/>
        <v>15</v>
      </c>
    </row>
    <row r="60" spans="2:8">
      <c r="B60" t="s">
        <v>516</v>
      </c>
      <c r="C60">
        <v>3</v>
      </c>
      <c r="D60">
        <v>2.1</v>
      </c>
      <c r="E60">
        <v>1</v>
      </c>
      <c r="F60">
        <f t="shared" si="12"/>
        <v>6.3000000000000007</v>
      </c>
    </row>
    <row r="61" spans="2:8">
      <c r="B61" t="s">
        <v>522</v>
      </c>
      <c r="C61">
        <v>2</v>
      </c>
      <c r="D61">
        <v>2.1</v>
      </c>
      <c r="E61">
        <v>1</v>
      </c>
      <c r="F61">
        <f t="shared" si="12"/>
        <v>4.2</v>
      </c>
      <c r="H61">
        <f>F61</f>
        <v>4.2</v>
      </c>
    </row>
    <row r="62" spans="2:8">
      <c r="B62" t="s">
        <v>524</v>
      </c>
      <c r="C62">
        <v>1.5</v>
      </c>
      <c r="D62">
        <v>2.7</v>
      </c>
      <c r="E62">
        <v>1</v>
      </c>
      <c r="F62">
        <f t="shared" si="12"/>
        <v>4.0500000000000007</v>
      </c>
      <c r="H62">
        <f>F62</f>
        <v>4.0500000000000007</v>
      </c>
    </row>
    <row r="64" spans="2:8">
      <c r="G64">
        <f>SUM(F41:F62)</f>
        <v>114.97000000000001</v>
      </c>
    </row>
    <row r="66" spans="2:7">
      <c r="B66" t="s">
        <v>505</v>
      </c>
    </row>
    <row r="67" spans="2:7">
      <c r="B67" t="s">
        <v>540</v>
      </c>
      <c r="C67" t="s">
        <v>537</v>
      </c>
      <c r="D67" t="s">
        <v>538</v>
      </c>
      <c r="E67" t="s">
        <v>539</v>
      </c>
      <c r="F67" t="s">
        <v>483</v>
      </c>
      <c r="G67" t="s">
        <v>547</v>
      </c>
    </row>
    <row r="68" spans="2:7">
      <c r="B68" s="105" t="s">
        <v>506</v>
      </c>
      <c r="C68">
        <v>1.4</v>
      </c>
      <c r="D68">
        <v>0.4</v>
      </c>
      <c r="E68">
        <f>C68*D68</f>
        <v>0.55999999999999994</v>
      </c>
      <c r="F68">
        <v>2</v>
      </c>
      <c r="G68">
        <f>F68*E68</f>
        <v>1.1199999999999999</v>
      </c>
    </row>
    <row r="69" spans="2:7">
      <c r="B69" s="105" t="s">
        <v>507</v>
      </c>
      <c r="C69">
        <v>1</v>
      </c>
      <c r="D69">
        <v>0.4</v>
      </c>
      <c r="E69">
        <f t="shared" ref="E69:E78" si="13">C69*D69</f>
        <v>0.4</v>
      </c>
      <c r="F69">
        <v>1</v>
      </c>
      <c r="G69">
        <f t="shared" ref="G69:G78" si="14">F69*E69</f>
        <v>0.4</v>
      </c>
    </row>
    <row r="70" spans="2:7">
      <c r="B70" s="105" t="s">
        <v>508</v>
      </c>
      <c r="C70">
        <v>3</v>
      </c>
      <c r="D70">
        <v>1</v>
      </c>
      <c r="E70">
        <f t="shared" si="13"/>
        <v>3</v>
      </c>
      <c r="F70">
        <v>1</v>
      </c>
      <c r="G70">
        <f t="shared" si="14"/>
        <v>3</v>
      </c>
    </row>
    <row r="71" spans="2:7">
      <c r="B71" s="105" t="s">
        <v>509</v>
      </c>
      <c r="C71">
        <v>2</v>
      </c>
      <c r="D71">
        <v>1</v>
      </c>
      <c r="E71">
        <f t="shared" ref="E71" si="15">C71*D71</f>
        <v>2</v>
      </c>
      <c r="F71">
        <v>1</v>
      </c>
      <c r="G71">
        <f t="shared" ref="G71" si="16">F71*E71</f>
        <v>2</v>
      </c>
    </row>
    <row r="72" spans="2:7">
      <c r="B72" s="105" t="s">
        <v>541</v>
      </c>
      <c r="C72">
        <v>1</v>
      </c>
      <c r="D72">
        <v>0.4</v>
      </c>
      <c r="E72">
        <f t="shared" si="13"/>
        <v>0.4</v>
      </c>
      <c r="F72">
        <v>1</v>
      </c>
      <c r="G72">
        <f t="shared" si="14"/>
        <v>0.4</v>
      </c>
    </row>
    <row r="73" spans="2:7">
      <c r="B73" s="105" t="s">
        <v>542</v>
      </c>
      <c r="C73">
        <v>0.6</v>
      </c>
      <c r="D73">
        <v>0.4</v>
      </c>
      <c r="E73">
        <f t="shared" si="13"/>
        <v>0.24</v>
      </c>
      <c r="F73">
        <v>3</v>
      </c>
      <c r="G73">
        <f t="shared" si="14"/>
        <v>0.72</v>
      </c>
    </row>
    <row r="74" spans="2:7">
      <c r="B74" s="105" t="s">
        <v>510</v>
      </c>
      <c r="C74">
        <v>3</v>
      </c>
      <c r="D74">
        <v>1</v>
      </c>
      <c r="E74">
        <f t="shared" si="13"/>
        <v>3</v>
      </c>
      <c r="F74">
        <v>1</v>
      </c>
      <c r="G74">
        <f t="shared" si="14"/>
        <v>3</v>
      </c>
    </row>
    <row r="75" spans="2:7">
      <c r="B75" s="105" t="s">
        <v>543</v>
      </c>
      <c r="C75">
        <v>0.8</v>
      </c>
      <c r="D75">
        <v>1</v>
      </c>
      <c r="E75">
        <f t="shared" si="13"/>
        <v>0.8</v>
      </c>
      <c r="F75">
        <v>1</v>
      </c>
      <c r="G75">
        <f t="shared" si="14"/>
        <v>0.8</v>
      </c>
    </row>
    <row r="76" spans="2:7">
      <c r="B76" s="105" t="s">
        <v>544</v>
      </c>
      <c r="E76">
        <f t="shared" si="13"/>
        <v>0</v>
      </c>
      <c r="G76">
        <f t="shared" si="14"/>
        <v>0</v>
      </c>
    </row>
    <row r="77" spans="2:7">
      <c r="B77" s="105" t="s">
        <v>545</v>
      </c>
      <c r="E77">
        <f t="shared" si="13"/>
        <v>0</v>
      </c>
      <c r="G77">
        <f t="shared" si="14"/>
        <v>0</v>
      </c>
    </row>
    <row r="78" spans="2:7">
      <c r="B78" s="105" t="s">
        <v>511</v>
      </c>
      <c r="C78">
        <v>2.5</v>
      </c>
      <c r="D78">
        <v>1</v>
      </c>
      <c r="E78">
        <f t="shared" si="13"/>
        <v>2.5</v>
      </c>
      <c r="F78">
        <v>1</v>
      </c>
      <c r="G78">
        <f t="shared" si="14"/>
        <v>2.5</v>
      </c>
    </row>
    <row r="79" spans="2:7">
      <c r="B79" s="105" t="s">
        <v>558</v>
      </c>
    </row>
    <row r="80" spans="2:7">
      <c r="B80" s="105" t="s">
        <v>559</v>
      </c>
      <c r="C80">
        <v>1.6</v>
      </c>
      <c r="D80">
        <v>0.6</v>
      </c>
      <c r="E80">
        <f t="shared" ref="E80" si="17">C80*D80</f>
        <v>0.96</v>
      </c>
      <c r="F80">
        <v>1</v>
      </c>
      <c r="G80">
        <f t="shared" ref="G80" si="18">F80*E80</f>
        <v>0.96</v>
      </c>
    </row>
    <row r="81" spans="1:9">
      <c r="B81" s="105" t="s">
        <v>560</v>
      </c>
    </row>
    <row r="82" spans="1:9">
      <c r="B82" s="105" t="s">
        <v>561</v>
      </c>
    </row>
    <row r="83" spans="1:9">
      <c r="B83" s="105" t="s">
        <v>562</v>
      </c>
    </row>
    <row r="84" spans="1:9">
      <c r="B84" s="105" t="s">
        <v>563</v>
      </c>
    </row>
    <row r="85" spans="1:9">
      <c r="B85" s="105" t="s">
        <v>564</v>
      </c>
      <c r="C85">
        <v>1</v>
      </c>
      <c r="D85">
        <v>1</v>
      </c>
      <c r="E85">
        <f t="shared" ref="E85" si="19">C85*D85</f>
        <v>1</v>
      </c>
      <c r="F85">
        <v>1</v>
      </c>
      <c r="G85">
        <f t="shared" ref="G85" si="20">F85*E85</f>
        <v>1</v>
      </c>
      <c r="H85">
        <f>SUM(G68:G85)</f>
        <v>15.900000000000002</v>
      </c>
      <c r="I85" t="s">
        <v>570</v>
      </c>
    </row>
    <row r="86" spans="1:9">
      <c r="B86" s="105"/>
    </row>
    <row r="88" spans="1:9">
      <c r="B88" t="s">
        <v>546</v>
      </c>
    </row>
    <row r="89" spans="1:9">
      <c r="B89" t="s">
        <v>540</v>
      </c>
      <c r="C89" t="s">
        <v>537</v>
      </c>
      <c r="D89" t="s">
        <v>538</v>
      </c>
      <c r="E89" t="s">
        <v>539</v>
      </c>
      <c r="F89" t="s">
        <v>483</v>
      </c>
      <c r="G89" t="s">
        <v>547</v>
      </c>
    </row>
    <row r="90" spans="1:9">
      <c r="A90" t="s">
        <v>549</v>
      </c>
      <c r="B90" t="s">
        <v>550</v>
      </c>
      <c r="C90">
        <v>0.8</v>
      </c>
      <c r="D90">
        <v>2.1</v>
      </c>
      <c r="F90">
        <v>6</v>
      </c>
      <c r="H90">
        <v>6</v>
      </c>
      <c r="I90" t="s">
        <v>569</v>
      </c>
    </row>
    <row r="91" spans="1:9">
      <c r="A91" t="s">
        <v>548</v>
      </c>
      <c r="B91" t="s">
        <v>514</v>
      </c>
      <c r="C91">
        <v>2.5</v>
      </c>
      <c r="D91">
        <v>2.1</v>
      </c>
      <c r="E91">
        <f>D91*C91</f>
        <v>5.25</v>
      </c>
      <c r="F91">
        <v>1</v>
      </c>
      <c r="G91">
        <f>F91*E91</f>
        <v>5.25</v>
      </c>
    </row>
    <row r="92" spans="1:9">
      <c r="A92" t="s">
        <v>548</v>
      </c>
      <c r="B92" t="s">
        <v>515</v>
      </c>
      <c r="C92">
        <v>6</v>
      </c>
      <c r="D92">
        <v>2.5</v>
      </c>
      <c r="E92">
        <f t="shared" ref="E92:E100" si="21">D92*C92</f>
        <v>15</v>
      </c>
      <c r="F92">
        <v>1</v>
      </c>
      <c r="G92">
        <f t="shared" ref="G92:G100" si="22">F92*E92</f>
        <v>15</v>
      </c>
    </row>
    <row r="93" spans="1:9">
      <c r="A93" t="s">
        <v>548</v>
      </c>
      <c r="B93" t="s">
        <v>516</v>
      </c>
      <c r="C93">
        <v>3</v>
      </c>
      <c r="D93">
        <v>2.1</v>
      </c>
      <c r="E93">
        <f t="shared" si="21"/>
        <v>6.3000000000000007</v>
      </c>
      <c r="F93">
        <v>1</v>
      </c>
      <c r="G93">
        <f t="shared" si="22"/>
        <v>6.3000000000000007</v>
      </c>
    </row>
    <row r="94" spans="1:9">
      <c r="A94" t="s">
        <v>548</v>
      </c>
      <c r="B94" t="s">
        <v>552</v>
      </c>
      <c r="C94">
        <v>2</v>
      </c>
      <c r="D94">
        <v>2.1</v>
      </c>
      <c r="E94">
        <f t="shared" ref="E94" si="23">D94*C94</f>
        <v>4.2</v>
      </c>
      <c r="F94">
        <v>1</v>
      </c>
      <c r="G94">
        <f t="shared" ref="G94" si="24">F94*E94</f>
        <v>4.2</v>
      </c>
    </row>
    <row r="95" spans="1:9">
      <c r="A95" t="s">
        <v>548</v>
      </c>
      <c r="B95" t="s">
        <v>551</v>
      </c>
      <c r="C95">
        <v>2.7</v>
      </c>
      <c r="D95">
        <v>2.1</v>
      </c>
      <c r="E95">
        <f t="shared" si="21"/>
        <v>5.6700000000000008</v>
      </c>
      <c r="F95">
        <v>1</v>
      </c>
      <c r="G95">
        <f t="shared" si="22"/>
        <v>5.6700000000000008</v>
      </c>
    </row>
    <row r="96" spans="1:9">
      <c r="A96" t="s">
        <v>548</v>
      </c>
      <c r="B96" t="s">
        <v>553</v>
      </c>
      <c r="C96">
        <v>2.5</v>
      </c>
      <c r="D96">
        <v>2.1</v>
      </c>
      <c r="E96">
        <f t="shared" si="21"/>
        <v>5.25</v>
      </c>
      <c r="F96">
        <v>1</v>
      </c>
      <c r="G96">
        <f t="shared" si="22"/>
        <v>5.25</v>
      </c>
    </row>
    <row r="97" spans="1:9">
      <c r="A97" t="s">
        <v>548</v>
      </c>
      <c r="B97" t="s">
        <v>554</v>
      </c>
      <c r="C97">
        <v>4</v>
      </c>
      <c r="D97">
        <v>2.1</v>
      </c>
      <c r="E97">
        <f t="shared" si="21"/>
        <v>8.4</v>
      </c>
      <c r="F97">
        <v>1</v>
      </c>
      <c r="G97">
        <f t="shared" si="22"/>
        <v>8.4</v>
      </c>
    </row>
    <row r="98" spans="1:9">
      <c r="A98" t="s">
        <v>548</v>
      </c>
      <c r="B98" t="s">
        <v>555</v>
      </c>
      <c r="C98">
        <v>0.8</v>
      </c>
      <c r="D98">
        <v>2.1</v>
      </c>
      <c r="E98">
        <f t="shared" si="21"/>
        <v>1.6800000000000002</v>
      </c>
      <c r="F98">
        <v>2</v>
      </c>
      <c r="G98">
        <f t="shared" si="22"/>
        <v>3.3600000000000003</v>
      </c>
    </row>
    <row r="99" spans="1:9">
      <c r="A99" t="s">
        <v>548</v>
      </c>
      <c r="B99" t="s">
        <v>556</v>
      </c>
      <c r="C99">
        <v>2</v>
      </c>
      <c r="D99">
        <v>2.1</v>
      </c>
      <c r="E99">
        <f t="shared" si="21"/>
        <v>4.2</v>
      </c>
      <c r="F99">
        <v>2</v>
      </c>
      <c r="G99">
        <f t="shared" si="22"/>
        <v>8.4</v>
      </c>
    </row>
    <row r="100" spans="1:9">
      <c r="A100" t="s">
        <v>548</v>
      </c>
      <c r="B100" t="s">
        <v>557</v>
      </c>
      <c r="C100">
        <v>2</v>
      </c>
      <c r="D100">
        <v>2.1</v>
      </c>
      <c r="E100">
        <f t="shared" si="21"/>
        <v>4.2</v>
      </c>
      <c r="F100">
        <v>1</v>
      </c>
      <c r="G100">
        <f t="shared" si="22"/>
        <v>4.2</v>
      </c>
    </row>
    <row r="101" spans="1:9">
      <c r="B101" t="s">
        <v>565</v>
      </c>
    </row>
    <row r="102" spans="1:9">
      <c r="B102" t="s">
        <v>566</v>
      </c>
    </row>
    <row r="103" spans="1:9">
      <c r="A103" t="s">
        <v>548</v>
      </c>
      <c r="B103" t="s">
        <v>567</v>
      </c>
      <c r="C103">
        <v>1.5</v>
      </c>
      <c r="D103">
        <v>2.1</v>
      </c>
      <c r="E103">
        <f t="shared" ref="E103" si="25">D103*C103</f>
        <v>3.1500000000000004</v>
      </c>
      <c r="F103">
        <v>2</v>
      </c>
      <c r="G103">
        <f t="shared" ref="G103" si="26">F103*E103</f>
        <v>6.3000000000000007</v>
      </c>
      <c r="H103">
        <f>SUM(G91:G103)</f>
        <v>72.33</v>
      </c>
      <c r="I103" t="s">
        <v>568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ORÇAMENTO</vt:lpstr>
      <vt:lpstr>CRONOGRAMA</vt:lpstr>
      <vt:lpstr>TRU_RESUMO MAT</vt:lpstr>
      <vt:lpstr>calculo escada</vt:lpstr>
      <vt:lpstr>ELE_TEL_LOG</vt:lpstr>
      <vt:lpstr>AGUA_ESGOTO</vt:lpstr>
      <vt:lpstr>ESQUADRIAS</vt:lpstr>
      <vt:lpstr>ORÇAMENTO!Area_de_impressao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2018-10-09T21:00:24Z</cp:lastPrinted>
  <dcterms:created xsi:type="dcterms:W3CDTF">2018-09-13T13:32:05Z</dcterms:created>
  <dcterms:modified xsi:type="dcterms:W3CDTF">2018-10-09T21:00:29Z</dcterms:modified>
</cp:coreProperties>
</file>