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115" windowHeight="7740" activeTab="1"/>
  </bookViews>
  <sheets>
    <sheet name="composição_orçamento" sheetId="2" r:id="rId1"/>
    <sheet name="CRONOGRAMA" sheetId="3" r:id="rId2"/>
    <sheet name="Plan1" sheetId="1" r:id="rId3"/>
  </sheets>
  <definedNames>
    <definedName name="_xlnm.Print_Area" localSheetId="0">composição_orçamento!$A$2:$J$281</definedName>
    <definedName name="_xlnm.Print_Area" localSheetId="2">Plan1!$A$1:$J$25</definedName>
  </definedNames>
  <calcPr calcId="125725"/>
</workbook>
</file>

<file path=xl/calcChain.xml><?xml version="1.0" encoding="utf-8"?>
<calcChain xmlns="http://schemas.openxmlformats.org/spreadsheetml/2006/main">
  <c r="G10" i="3"/>
  <c r="J36"/>
  <c r="F16"/>
  <c r="F17"/>
  <c r="F18"/>
  <c r="F24"/>
  <c r="F25"/>
  <c r="F26"/>
  <c r="F27"/>
  <c r="F30"/>
  <c r="J30" s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15"/>
  <c r="D33"/>
  <c r="C33"/>
  <c r="B33"/>
  <c r="D32"/>
  <c r="F32" s="1"/>
  <c r="C32"/>
  <c r="C31"/>
  <c r="D31"/>
  <c r="F31" s="1"/>
  <c r="C28"/>
  <c r="D28"/>
  <c r="F28" s="1"/>
  <c r="C29"/>
  <c r="D29"/>
  <c r="F29" s="1"/>
  <c r="C20"/>
  <c r="D20"/>
  <c r="F20" s="1"/>
  <c r="C21"/>
  <c r="D21"/>
  <c r="F21" s="1"/>
  <c r="C22"/>
  <c r="D22"/>
  <c r="F22" s="1"/>
  <c r="C23"/>
  <c r="D23"/>
  <c r="F23" s="1"/>
  <c r="C24"/>
  <c r="D24"/>
  <c r="C25"/>
  <c r="D25"/>
  <c r="C26"/>
  <c r="D26"/>
  <c r="C27"/>
  <c r="D27"/>
  <c r="D19"/>
  <c r="F19" s="1"/>
  <c r="C19"/>
  <c r="C16"/>
  <c r="D16"/>
  <c r="C17"/>
  <c r="D17"/>
  <c r="C18"/>
  <c r="D18"/>
  <c r="B15"/>
  <c r="C15" s="1"/>
  <c r="J20" l="1"/>
  <c r="J25"/>
  <c r="J21"/>
  <c r="J27"/>
  <c r="J24"/>
  <c r="J19"/>
  <c r="J16"/>
  <c r="J23"/>
  <c r="J29"/>
  <c r="F33"/>
  <c r="J33" s="1"/>
  <c r="J26"/>
  <c r="J18"/>
  <c r="J28"/>
  <c r="J22"/>
  <c r="J32"/>
  <c r="J31"/>
  <c r="J17"/>
  <c r="D15"/>
  <c r="F15" s="1"/>
  <c r="F36" s="1"/>
  <c r="D36" l="1"/>
  <c r="G258" i="2"/>
  <c r="F258"/>
  <c r="G245"/>
  <c r="F245"/>
  <c r="G232"/>
  <c r="F232"/>
  <c r="G219"/>
  <c r="F219"/>
  <c r="G206"/>
  <c r="F206"/>
  <c r="G193"/>
  <c r="F193"/>
  <c r="G180"/>
  <c r="F180"/>
  <c r="G167"/>
  <c r="F167"/>
  <c r="G154"/>
  <c r="F154"/>
  <c r="G141"/>
  <c r="F141"/>
  <c r="G128"/>
  <c r="F128"/>
  <c r="G115"/>
  <c r="F115"/>
  <c r="G102"/>
  <c r="F102"/>
  <c r="G89"/>
  <c r="F89"/>
  <c r="G76"/>
  <c r="F76"/>
  <c r="G63"/>
  <c r="F63"/>
  <c r="G267"/>
  <c r="F267"/>
  <c r="G266"/>
  <c r="F266"/>
  <c r="G265"/>
  <c r="H265" s="1"/>
  <c r="I265" s="1"/>
  <c r="F265"/>
  <c r="G264"/>
  <c r="F264"/>
  <c r="G263"/>
  <c r="F263"/>
  <c r="G262"/>
  <c r="F262"/>
  <c r="G261"/>
  <c r="F261"/>
  <c r="G260"/>
  <c r="F260"/>
  <c r="G259"/>
  <c r="F259"/>
  <c r="G254"/>
  <c r="F254"/>
  <c r="G253"/>
  <c r="F253"/>
  <c r="G252"/>
  <c r="F252"/>
  <c r="G251"/>
  <c r="F251"/>
  <c r="G250"/>
  <c r="F250"/>
  <c r="G249"/>
  <c r="H249" s="1"/>
  <c r="I249" s="1"/>
  <c r="F249"/>
  <c r="G248"/>
  <c r="F248"/>
  <c r="G247"/>
  <c r="F247"/>
  <c r="G246"/>
  <c r="F246"/>
  <c r="G241"/>
  <c r="F241"/>
  <c r="G240"/>
  <c r="F240"/>
  <c r="G239"/>
  <c r="F239"/>
  <c r="G238"/>
  <c r="F238"/>
  <c r="G237"/>
  <c r="F237"/>
  <c r="G236"/>
  <c r="F236"/>
  <c r="G235"/>
  <c r="F235"/>
  <c r="G234"/>
  <c r="F234"/>
  <c r="G233"/>
  <c r="F233"/>
  <c r="G228"/>
  <c r="F228"/>
  <c r="G227"/>
  <c r="F227"/>
  <c r="G226"/>
  <c r="F226"/>
  <c r="G225"/>
  <c r="F225"/>
  <c r="G224"/>
  <c r="F224"/>
  <c r="G223"/>
  <c r="F223"/>
  <c r="G222"/>
  <c r="F222"/>
  <c r="G221"/>
  <c r="F221"/>
  <c r="G220"/>
  <c r="F220"/>
  <c r="G215"/>
  <c r="F215"/>
  <c r="G214"/>
  <c r="F214"/>
  <c r="G213"/>
  <c r="F213"/>
  <c r="G212"/>
  <c r="F212"/>
  <c r="G211"/>
  <c r="F211"/>
  <c r="G210"/>
  <c r="F210"/>
  <c r="G209"/>
  <c r="F209"/>
  <c r="G208"/>
  <c r="F208"/>
  <c r="G207"/>
  <c r="F207"/>
  <c r="G202"/>
  <c r="F202"/>
  <c r="G201"/>
  <c r="F201"/>
  <c r="G200"/>
  <c r="F200"/>
  <c r="G199"/>
  <c r="F199"/>
  <c r="G198"/>
  <c r="F198"/>
  <c r="G197"/>
  <c r="F197"/>
  <c r="G196"/>
  <c r="F196"/>
  <c r="G195"/>
  <c r="F195"/>
  <c r="G194"/>
  <c r="F194"/>
  <c r="G189"/>
  <c r="F189"/>
  <c r="G188"/>
  <c r="F188"/>
  <c r="G187"/>
  <c r="F187"/>
  <c r="G186"/>
  <c r="F186"/>
  <c r="G185"/>
  <c r="F185"/>
  <c r="G184"/>
  <c r="F184"/>
  <c r="G183"/>
  <c r="F183"/>
  <c r="G182"/>
  <c r="F182"/>
  <c r="G181"/>
  <c r="F181"/>
  <c r="G176"/>
  <c r="F176"/>
  <c r="G175"/>
  <c r="F175"/>
  <c r="G174"/>
  <c r="F174"/>
  <c r="G173"/>
  <c r="F173"/>
  <c r="G172"/>
  <c r="F172"/>
  <c r="G171"/>
  <c r="F171"/>
  <c r="G170"/>
  <c r="F170"/>
  <c r="G169"/>
  <c r="F169"/>
  <c r="G168"/>
  <c r="F168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H274"/>
  <c r="I274" s="1"/>
  <c r="H273"/>
  <c r="I273" s="1"/>
  <c r="D272"/>
  <c r="H272" s="1"/>
  <c r="I272" s="1"/>
  <c r="S87"/>
  <c r="S113" s="1"/>
  <c r="S150" s="1"/>
  <c r="T87"/>
  <c r="T113" s="1"/>
  <c r="T150" s="1"/>
  <c r="D259"/>
  <c r="D267"/>
  <c r="C267"/>
  <c r="C266"/>
  <c r="C265"/>
  <c r="C264"/>
  <c r="C263"/>
  <c r="C262"/>
  <c r="C261"/>
  <c r="C260"/>
  <c r="C259"/>
  <c r="C258"/>
  <c r="C257"/>
  <c r="D252"/>
  <c r="C254"/>
  <c r="C253"/>
  <c r="C252"/>
  <c r="C251"/>
  <c r="C250"/>
  <c r="C249"/>
  <c r="C248"/>
  <c r="C247"/>
  <c r="C246"/>
  <c r="C245"/>
  <c r="C244"/>
  <c r="D239"/>
  <c r="D237"/>
  <c r="C241"/>
  <c r="C240"/>
  <c r="C239"/>
  <c r="C238"/>
  <c r="C237"/>
  <c r="C236"/>
  <c r="C235"/>
  <c r="C234"/>
  <c r="C233"/>
  <c r="C232"/>
  <c r="C231"/>
  <c r="D224"/>
  <c r="C228"/>
  <c r="C227"/>
  <c r="C226"/>
  <c r="C225"/>
  <c r="C224"/>
  <c r="C223"/>
  <c r="C222"/>
  <c r="C221"/>
  <c r="C220"/>
  <c r="C219"/>
  <c r="C218"/>
  <c r="D215"/>
  <c r="D211"/>
  <c r="C215"/>
  <c r="C214"/>
  <c r="C213"/>
  <c r="C212"/>
  <c r="C211"/>
  <c r="C210"/>
  <c r="C209"/>
  <c r="C208"/>
  <c r="C207"/>
  <c r="D212"/>
  <c r="C206"/>
  <c r="C205"/>
  <c r="D201"/>
  <c r="D196"/>
  <c r="D194"/>
  <c r="C202"/>
  <c r="C201"/>
  <c r="C200"/>
  <c r="C199"/>
  <c r="C198"/>
  <c r="C197"/>
  <c r="C196"/>
  <c r="C195"/>
  <c r="C194"/>
  <c r="C193"/>
  <c r="C192"/>
  <c r="D185"/>
  <c r="D183"/>
  <c r="D189"/>
  <c r="C189"/>
  <c r="C188"/>
  <c r="C187"/>
  <c r="C186"/>
  <c r="C185"/>
  <c r="C184"/>
  <c r="C183"/>
  <c r="C182"/>
  <c r="C181"/>
  <c r="C180"/>
  <c r="C179"/>
  <c r="D172"/>
  <c r="D170"/>
  <c r="D163"/>
  <c r="D159"/>
  <c r="D150"/>
  <c r="D142"/>
  <c r="D144" s="1"/>
  <c r="D137"/>
  <c r="D129"/>
  <c r="D124"/>
  <c r="D111"/>
  <c r="D98"/>
  <c r="D94"/>
  <c r="D81"/>
  <c r="D68"/>
  <c r="C176"/>
  <c r="C175"/>
  <c r="C174"/>
  <c r="C173"/>
  <c r="C172"/>
  <c r="C171"/>
  <c r="C170"/>
  <c r="C169"/>
  <c r="C168"/>
  <c r="C167"/>
  <c r="C166"/>
  <c r="C163"/>
  <c r="C162"/>
  <c r="C161"/>
  <c r="C160"/>
  <c r="C159"/>
  <c r="C158"/>
  <c r="C157"/>
  <c r="C156"/>
  <c r="C155"/>
  <c r="C154"/>
  <c r="C153"/>
  <c r="R168"/>
  <c r="S168"/>
  <c r="T168"/>
  <c r="R169"/>
  <c r="S169"/>
  <c r="T169"/>
  <c r="C150"/>
  <c r="C149"/>
  <c r="C148"/>
  <c r="C147"/>
  <c r="C146"/>
  <c r="C145"/>
  <c r="C144"/>
  <c r="C143"/>
  <c r="C142"/>
  <c r="C141"/>
  <c r="C140"/>
  <c r="C137"/>
  <c r="C136"/>
  <c r="C135"/>
  <c r="C134"/>
  <c r="C133"/>
  <c r="C132"/>
  <c r="C131"/>
  <c r="C130"/>
  <c r="C129"/>
  <c r="C128"/>
  <c r="C127"/>
  <c r="C124"/>
  <c r="C123"/>
  <c r="C122"/>
  <c r="C121"/>
  <c r="C120"/>
  <c r="C119"/>
  <c r="C118"/>
  <c r="C117"/>
  <c r="C116"/>
  <c r="C115"/>
  <c r="C114"/>
  <c r="C102"/>
  <c r="C111"/>
  <c r="C110"/>
  <c r="C109"/>
  <c r="C108"/>
  <c r="C107"/>
  <c r="C106"/>
  <c r="C105"/>
  <c r="C104"/>
  <c r="C103"/>
  <c r="C101"/>
  <c r="R88"/>
  <c r="R114" s="1"/>
  <c r="S88"/>
  <c r="S114" s="1"/>
  <c r="T88"/>
  <c r="T114" s="1"/>
  <c r="T104"/>
  <c r="T130" s="1"/>
  <c r="T166" s="1"/>
  <c r="S90"/>
  <c r="S116" s="1"/>
  <c r="S152" s="1"/>
  <c r="T90"/>
  <c r="T116" s="1"/>
  <c r="T152" s="1"/>
  <c r="S91"/>
  <c r="S117" s="1"/>
  <c r="S153" s="1"/>
  <c r="T91"/>
  <c r="T117" s="1"/>
  <c r="T153" s="1"/>
  <c r="S92"/>
  <c r="S118" s="1"/>
  <c r="S154" s="1"/>
  <c r="T92"/>
  <c r="T118" s="1"/>
  <c r="T154" s="1"/>
  <c r="R93"/>
  <c r="R119" s="1"/>
  <c r="R155" s="1"/>
  <c r="S93"/>
  <c r="S119" s="1"/>
  <c r="S155" s="1"/>
  <c r="T93"/>
  <c r="T119" s="1"/>
  <c r="T155" s="1"/>
  <c r="R94"/>
  <c r="R120" s="1"/>
  <c r="R156" s="1"/>
  <c r="S94"/>
  <c r="S120" s="1"/>
  <c r="S156" s="1"/>
  <c r="T94"/>
  <c r="T120" s="1"/>
  <c r="T156" s="1"/>
  <c r="R95"/>
  <c r="R121" s="1"/>
  <c r="R157" s="1"/>
  <c r="S95"/>
  <c r="S121" s="1"/>
  <c r="S157" s="1"/>
  <c r="T95"/>
  <c r="T121" s="1"/>
  <c r="T157" s="1"/>
  <c r="R96"/>
  <c r="R122" s="1"/>
  <c r="R158" s="1"/>
  <c r="T96"/>
  <c r="T122" s="1"/>
  <c r="T158" s="1"/>
  <c r="R97"/>
  <c r="R123" s="1"/>
  <c r="R159" s="1"/>
  <c r="T97"/>
  <c r="T123" s="1"/>
  <c r="T159" s="1"/>
  <c r="S98"/>
  <c r="S124" s="1"/>
  <c r="S160" s="1"/>
  <c r="T98"/>
  <c r="T124" s="1"/>
  <c r="T160" s="1"/>
  <c r="R99"/>
  <c r="R125" s="1"/>
  <c r="R161" s="1"/>
  <c r="S99"/>
  <c r="S125" s="1"/>
  <c r="S161" s="1"/>
  <c r="T99"/>
  <c r="T125" s="1"/>
  <c r="T161" s="1"/>
  <c r="S100"/>
  <c r="S126" s="1"/>
  <c r="S162" s="1"/>
  <c r="S101"/>
  <c r="S127" s="1"/>
  <c r="S163" s="1"/>
  <c r="T101"/>
  <c r="T127" s="1"/>
  <c r="T163" s="1"/>
  <c r="S102"/>
  <c r="S128" s="1"/>
  <c r="S164" s="1"/>
  <c r="T102"/>
  <c r="T128" s="1"/>
  <c r="T164" s="1"/>
  <c r="R103"/>
  <c r="R129" s="1"/>
  <c r="R165" s="1"/>
  <c r="S103"/>
  <c r="S129" s="1"/>
  <c r="S165" s="1"/>
  <c r="R105"/>
  <c r="R131" s="1"/>
  <c r="R167" s="1"/>
  <c r="S105"/>
  <c r="S131" s="1"/>
  <c r="S167" s="1"/>
  <c r="T105"/>
  <c r="T131" s="1"/>
  <c r="T167" s="1"/>
  <c r="R89"/>
  <c r="R115" s="1"/>
  <c r="R151" s="1"/>
  <c r="T89"/>
  <c r="T115" s="1"/>
  <c r="T151" s="1"/>
  <c r="C88"/>
  <c r="C75"/>
  <c r="C98"/>
  <c r="C97"/>
  <c r="C96"/>
  <c r="C95"/>
  <c r="C94"/>
  <c r="C93"/>
  <c r="C92"/>
  <c r="C91"/>
  <c r="C90"/>
  <c r="C89"/>
  <c r="C85"/>
  <c r="C84"/>
  <c r="C83"/>
  <c r="C82"/>
  <c r="C81"/>
  <c r="C80"/>
  <c r="C79"/>
  <c r="C78"/>
  <c r="C77"/>
  <c r="C76"/>
  <c r="I21"/>
  <c r="C69"/>
  <c r="C64"/>
  <c r="C65"/>
  <c r="C66"/>
  <c r="C67"/>
  <c r="C68"/>
  <c r="C70"/>
  <c r="C71"/>
  <c r="C72"/>
  <c r="C63"/>
  <c r="C62"/>
  <c r="F42"/>
  <c r="D76" s="1"/>
  <c r="D82" s="1"/>
  <c r="F43"/>
  <c r="D89" s="1"/>
  <c r="D95" s="1"/>
  <c r="F44"/>
  <c r="D102" s="1"/>
  <c r="D108" s="1"/>
  <c r="F45"/>
  <c r="D115" s="1"/>
  <c r="D121" s="1"/>
  <c r="F46"/>
  <c r="D128" s="1"/>
  <c r="F47"/>
  <c r="D141" s="1"/>
  <c r="F48"/>
  <c r="D154" s="1"/>
  <c r="D160" s="1"/>
  <c r="F49"/>
  <c r="D167" s="1"/>
  <c r="F50"/>
  <c r="D180" s="1"/>
  <c r="D186" s="1"/>
  <c r="F53"/>
  <c r="F54"/>
  <c r="D232" s="1"/>
  <c r="F57"/>
  <c r="F41"/>
  <c r="D63" s="1"/>
  <c r="D69" s="1"/>
  <c r="D51"/>
  <c r="F51" s="1"/>
  <c r="D193" s="1"/>
  <c r="D199" s="1"/>
  <c r="D52"/>
  <c r="F52" s="1"/>
  <c r="D55"/>
  <c r="F55" s="1"/>
  <c r="D245" s="1"/>
  <c r="I41"/>
  <c r="S89" s="1"/>
  <c r="S115" s="1"/>
  <c r="S151" s="1"/>
  <c r="I56"/>
  <c r="S104" s="1"/>
  <c r="S130" s="1"/>
  <c r="S166" s="1"/>
  <c r="H56"/>
  <c r="R104" s="1"/>
  <c r="R130" s="1"/>
  <c r="R166" s="1"/>
  <c r="E56"/>
  <c r="F56" s="1"/>
  <c r="J55"/>
  <c r="D253" s="1"/>
  <c r="G55"/>
  <c r="D200" s="1"/>
  <c r="H54"/>
  <c r="R102" s="1"/>
  <c r="R128" s="1"/>
  <c r="R164" s="1"/>
  <c r="H53"/>
  <c r="R101" s="1"/>
  <c r="R127" s="1"/>
  <c r="R163" s="1"/>
  <c r="G53"/>
  <c r="J52"/>
  <c r="T100" s="1"/>
  <c r="T126" s="1"/>
  <c r="T162" s="1"/>
  <c r="H52"/>
  <c r="R100" s="1"/>
  <c r="R126" s="1"/>
  <c r="R162" s="1"/>
  <c r="G52"/>
  <c r="H51"/>
  <c r="G51"/>
  <c r="I50"/>
  <c r="D181" s="1"/>
  <c r="H50"/>
  <c r="R98" s="1"/>
  <c r="R124" s="1"/>
  <c r="R160" s="1"/>
  <c r="I49"/>
  <c r="D168" s="1"/>
  <c r="I48"/>
  <c r="S96" s="1"/>
  <c r="S122" s="1"/>
  <c r="S158" s="1"/>
  <c r="I45"/>
  <c r="D116" s="1"/>
  <c r="D123" s="1"/>
  <c r="I44"/>
  <c r="D103" s="1"/>
  <c r="I43"/>
  <c r="D90" s="1"/>
  <c r="I42"/>
  <c r="D77" s="1"/>
  <c r="D79" s="1"/>
  <c r="I12"/>
  <c r="I9"/>
  <c r="I6"/>
  <c r="I15"/>
  <c r="I33"/>
  <c r="I30"/>
  <c r="I27"/>
  <c r="I24"/>
  <c r="I18"/>
  <c r="J15" i="3" l="1"/>
  <c r="H219" i="2"/>
  <c r="I219" s="1"/>
  <c r="H187"/>
  <c r="I187" s="1"/>
  <c r="H78"/>
  <c r="I78" s="1"/>
  <c r="H182"/>
  <c r="I182" s="1"/>
  <c r="H104"/>
  <c r="I104" s="1"/>
  <c r="H148"/>
  <c r="I148" s="1"/>
  <c r="H208"/>
  <c r="I208" s="1"/>
  <c r="H260"/>
  <c r="I260" s="1"/>
  <c r="H264"/>
  <c r="I264" s="1"/>
  <c r="H202"/>
  <c r="I202" s="1"/>
  <c r="H236"/>
  <c r="I236" s="1"/>
  <c r="H146"/>
  <c r="I146" s="1"/>
  <c r="H220"/>
  <c r="I220" s="1"/>
  <c r="H228"/>
  <c r="I228" s="1"/>
  <c r="H72"/>
  <c r="I72" s="1"/>
  <c r="H221"/>
  <c r="I221" s="1"/>
  <c r="H247"/>
  <c r="I247" s="1"/>
  <c r="H213"/>
  <c r="I213" s="1"/>
  <c r="H234"/>
  <c r="I234" s="1"/>
  <c r="H210"/>
  <c r="I210" s="1"/>
  <c r="H263"/>
  <c r="I263" s="1"/>
  <c r="H133"/>
  <c r="I133" s="1"/>
  <c r="H107"/>
  <c r="I107" s="1"/>
  <c r="H239"/>
  <c r="I239" s="1"/>
  <c r="H69"/>
  <c r="I69" s="1"/>
  <c r="H189"/>
  <c r="I189" s="1"/>
  <c r="D254"/>
  <c r="H267"/>
  <c r="I267" s="1"/>
  <c r="H91"/>
  <c r="I91" s="1"/>
  <c r="H106"/>
  <c r="I106" s="1"/>
  <c r="H120"/>
  <c r="I120" s="1"/>
  <c r="H195"/>
  <c r="I195" s="1"/>
  <c r="H235"/>
  <c r="I235" s="1"/>
  <c r="H96"/>
  <c r="I96" s="1"/>
  <c r="H174"/>
  <c r="I174" s="1"/>
  <c r="T103"/>
  <c r="T129" s="1"/>
  <c r="T165" s="1"/>
  <c r="H233"/>
  <c r="I233" s="1"/>
  <c r="H261"/>
  <c r="I261" s="1"/>
  <c r="H109"/>
  <c r="I109" s="1"/>
  <c r="H161"/>
  <c r="I161" s="1"/>
  <c r="D198"/>
  <c r="D246"/>
  <c r="H85"/>
  <c r="I85" s="1"/>
  <c r="H98"/>
  <c r="I98" s="1"/>
  <c r="H209"/>
  <c r="I209" s="1"/>
  <c r="H225"/>
  <c r="I225" s="1"/>
  <c r="H241"/>
  <c r="I241" s="1"/>
  <c r="H250"/>
  <c r="I250" s="1"/>
  <c r="H262"/>
  <c r="I262" s="1"/>
  <c r="H117"/>
  <c r="I117" s="1"/>
  <c r="H169"/>
  <c r="I169" s="1"/>
  <c r="H184"/>
  <c r="I184" s="1"/>
  <c r="H122"/>
  <c r="I122" s="1"/>
  <c r="H207"/>
  <c r="I207" s="1"/>
  <c r="H214"/>
  <c r="I214" s="1"/>
  <c r="H248"/>
  <c r="I248" s="1"/>
  <c r="J270"/>
  <c r="D131"/>
  <c r="D266"/>
  <c r="H201"/>
  <c r="I201" s="1"/>
  <c r="H121"/>
  <c r="I121" s="1"/>
  <c r="H172"/>
  <c r="I172" s="1"/>
  <c r="H63"/>
  <c r="I63" s="1"/>
  <c r="H83"/>
  <c r="I83" s="1"/>
  <c r="H199"/>
  <c r="I199" s="1"/>
  <c r="H170"/>
  <c r="I170" s="1"/>
  <c r="H76"/>
  <c r="I76" s="1"/>
  <c r="H94"/>
  <c r="I94" s="1"/>
  <c r="H129"/>
  <c r="I129" s="1"/>
  <c r="H128"/>
  <c r="I128" s="1"/>
  <c r="H137"/>
  <c r="I137" s="1"/>
  <c r="H163"/>
  <c r="I163" s="1"/>
  <c r="H82"/>
  <c r="I82" s="1"/>
  <c r="H150"/>
  <c r="I150" s="1"/>
  <c r="H196"/>
  <c r="I196" s="1"/>
  <c r="D188"/>
  <c r="D110"/>
  <c r="H103"/>
  <c r="I103" s="1"/>
  <c r="D92"/>
  <c r="D147"/>
  <c r="D251"/>
  <c r="D238"/>
  <c r="H95"/>
  <c r="I95" s="1"/>
  <c r="D155"/>
  <c r="D162" s="1"/>
  <c r="H124"/>
  <c r="I124" s="1"/>
  <c r="H135"/>
  <c r="I135" s="1"/>
  <c r="H183"/>
  <c r="I183" s="1"/>
  <c r="H194"/>
  <c r="I194" s="1"/>
  <c r="D64"/>
  <c r="H123"/>
  <c r="I123" s="1"/>
  <c r="H167"/>
  <c r="I167" s="1"/>
  <c r="S97"/>
  <c r="S123" s="1"/>
  <c r="S159" s="1"/>
  <c r="H68"/>
  <c r="I68" s="1"/>
  <c r="H111"/>
  <c r="I111" s="1"/>
  <c r="H159"/>
  <c r="I159" s="1"/>
  <c r="H185"/>
  <c r="I185" s="1"/>
  <c r="H211"/>
  <c r="I211" s="1"/>
  <c r="H222"/>
  <c r="I222" s="1"/>
  <c r="H226"/>
  <c r="I226" s="1"/>
  <c r="H237"/>
  <c r="I237" s="1"/>
  <c r="H252"/>
  <c r="I252" s="1"/>
  <c r="H259"/>
  <c r="I259" s="1"/>
  <c r="H67"/>
  <c r="I67" s="1"/>
  <c r="H81"/>
  <c r="I81" s="1"/>
  <c r="H206"/>
  <c r="I206" s="1"/>
  <c r="H240"/>
  <c r="I240" s="1"/>
  <c r="H258"/>
  <c r="I258" s="1"/>
  <c r="D118"/>
  <c r="H80"/>
  <c r="I80" s="1"/>
  <c r="H176"/>
  <c r="I176" s="1"/>
  <c r="H79"/>
  <c r="I79" s="1"/>
  <c r="H253"/>
  <c r="I253" s="1"/>
  <c r="H93"/>
  <c r="I93" s="1"/>
  <c r="H119"/>
  <c r="I119" s="1"/>
  <c r="H160"/>
  <c r="I160" s="1"/>
  <c r="H171"/>
  <c r="I171" s="1"/>
  <c r="H186"/>
  <c r="I186" s="1"/>
  <c r="H197"/>
  <c r="I197" s="1"/>
  <c r="H223"/>
  <c r="I223" s="1"/>
  <c r="H227"/>
  <c r="I227" s="1"/>
  <c r="H215"/>
  <c r="I215" s="1"/>
  <c r="H70"/>
  <c r="I70" s="1"/>
  <c r="H65"/>
  <c r="I65" s="1"/>
  <c r="D97"/>
  <c r="D105"/>
  <c r="D145"/>
  <c r="D143"/>
  <c r="D175"/>
  <c r="D173"/>
  <c r="D149"/>
  <c r="D132"/>
  <c r="D130"/>
  <c r="D134"/>
  <c r="D136"/>
  <c r="D84"/>
  <c r="H156"/>
  <c r="I156" s="1"/>
  <c r="H158"/>
  <c r="I158" s="1"/>
  <c r="H89" i="1"/>
  <c r="G89"/>
  <c r="D89"/>
  <c r="E89" s="1"/>
  <c r="I88"/>
  <c r="F88"/>
  <c r="C88"/>
  <c r="E88" s="1"/>
  <c r="G87"/>
  <c r="E87"/>
  <c r="G86"/>
  <c r="F86"/>
  <c r="E86"/>
  <c r="I85"/>
  <c r="G85"/>
  <c r="F85"/>
  <c r="C85"/>
  <c r="E85" s="1"/>
  <c r="G84"/>
  <c r="F84"/>
  <c r="E84"/>
  <c r="C84"/>
  <c r="H83"/>
  <c r="G83"/>
  <c r="E83"/>
  <c r="H82"/>
  <c r="E82"/>
  <c r="H81"/>
  <c r="E81"/>
  <c r="H77"/>
  <c r="E77"/>
  <c r="H76"/>
  <c r="E76"/>
  <c r="H75"/>
  <c r="E75"/>
  <c r="H74"/>
  <c r="E74"/>
  <c r="H78"/>
  <c r="E78"/>
  <c r="E80"/>
  <c r="G79"/>
  <c r="E79"/>
  <c r="D71" i="2" l="1"/>
  <c r="D66"/>
  <c r="H180"/>
  <c r="I180" s="1"/>
  <c r="H142"/>
  <c r="I142" s="1"/>
  <c r="H154"/>
  <c r="I154" s="1"/>
  <c r="H102"/>
  <c r="I102" s="1"/>
  <c r="H193"/>
  <c r="I193" s="1"/>
  <c r="H89"/>
  <c r="I89" s="1"/>
  <c r="H212"/>
  <c r="I212" s="1"/>
  <c r="J205" s="1"/>
  <c r="H108"/>
  <c r="I108" s="1"/>
  <c r="H254"/>
  <c r="I254" s="1"/>
  <c r="H246"/>
  <c r="I246" s="1"/>
  <c r="H266"/>
  <c r="I266" s="1"/>
  <c r="J257" s="1"/>
  <c r="H77"/>
  <c r="I77" s="1"/>
  <c r="R87"/>
  <c r="R113" s="1"/>
  <c r="R150" s="1"/>
  <c r="H90"/>
  <c r="I90" s="1"/>
  <c r="H116"/>
  <c r="I116" s="1"/>
  <c r="H168"/>
  <c r="I168" s="1"/>
  <c r="H115"/>
  <c r="I115" s="1"/>
  <c r="H131"/>
  <c r="I131" s="1"/>
  <c r="H232"/>
  <c r="I232" s="1"/>
  <c r="H144"/>
  <c r="I144" s="1"/>
  <c r="H224"/>
  <c r="I224" s="1"/>
  <c r="J218" s="1"/>
  <c r="H200"/>
  <c r="I200" s="1"/>
  <c r="H141"/>
  <c r="I141" s="1"/>
  <c r="H181"/>
  <c r="I181" s="1"/>
  <c r="H175"/>
  <c r="I175" s="1"/>
  <c r="H97"/>
  <c r="I97" s="1"/>
  <c r="H238"/>
  <c r="I238" s="1"/>
  <c r="H134"/>
  <c r="I134" s="1"/>
  <c r="H251"/>
  <c r="I251" s="1"/>
  <c r="H162"/>
  <c r="I162" s="1"/>
  <c r="H145"/>
  <c r="I145" s="1"/>
  <c r="D157"/>
  <c r="H245"/>
  <c r="I245" s="1"/>
  <c r="I72" i="1"/>
  <c r="F72"/>
  <c r="H72"/>
  <c r="G72"/>
  <c r="E72"/>
  <c r="H147" i="2" l="1"/>
  <c r="I147" s="1"/>
  <c r="H149"/>
  <c r="I149" s="1"/>
  <c r="H84"/>
  <c r="I84" s="1"/>
  <c r="J75" s="1"/>
  <c r="J231"/>
  <c r="H198"/>
  <c r="I198" s="1"/>
  <c r="J192" s="1"/>
  <c r="R90"/>
  <c r="R116" s="1"/>
  <c r="R152" s="1"/>
  <c r="R91"/>
  <c r="R117" s="1"/>
  <c r="R153" s="1"/>
  <c r="H132"/>
  <c r="I132" s="1"/>
  <c r="H188"/>
  <c r="I188" s="1"/>
  <c r="J179" s="1"/>
  <c r="H110"/>
  <c r="I110" s="1"/>
  <c r="J244"/>
  <c r="H71"/>
  <c r="I71" s="1"/>
  <c r="H173"/>
  <c r="I173" s="1"/>
  <c r="J166" s="1"/>
  <c r="H130"/>
  <c r="I130" s="1"/>
  <c r="H105"/>
  <c r="I105" s="1"/>
  <c r="H118"/>
  <c r="I118" s="1"/>
  <c r="J114" s="1"/>
  <c r="H143"/>
  <c r="I143" s="1"/>
  <c r="H92"/>
  <c r="I92" s="1"/>
  <c r="J88" s="1"/>
  <c r="H64"/>
  <c r="I64" s="1"/>
  <c r="H136"/>
  <c r="I136" s="1"/>
  <c r="H155"/>
  <c r="I155" s="1"/>
  <c r="M35" i="1"/>
  <c r="M31"/>
  <c r="J31"/>
  <c r="I32"/>
  <c r="B49"/>
  <c r="F49" s="1"/>
  <c r="B48"/>
  <c r="F48" s="1"/>
  <c r="G39"/>
  <c r="E39"/>
  <c r="F39" s="1"/>
  <c r="E38"/>
  <c r="F38" s="1"/>
  <c r="G38" s="1"/>
  <c r="E32"/>
  <c r="F32" s="1"/>
  <c r="G32" s="1"/>
  <c r="E33"/>
  <c r="F33" s="1"/>
  <c r="G33" s="1"/>
  <c r="E34"/>
  <c r="F34" s="1"/>
  <c r="G34" s="1"/>
  <c r="E35"/>
  <c r="F35" s="1"/>
  <c r="G35" s="1"/>
  <c r="E36"/>
  <c r="F36" s="1"/>
  <c r="G36" s="1"/>
  <c r="E37"/>
  <c r="F37" s="1"/>
  <c r="G37" s="1"/>
  <c r="E31"/>
  <c r="F31" s="1"/>
  <c r="J140" i="2" l="1"/>
  <c r="J101"/>
  <c r="H66"/>
  <c r="I66" s="1"/>
  <c r="J62" s="1"/>
  <c r="J127"/>
  <c r="H157"/>
  <c r="I157" s="1"/>
  <c r="J153" s="1"/>
  <c r="K31" i="1"/>
  <c r="K32" s="1"/>
  <c r="G31"/>
  <c r="F41"/>
  <c r="G49"/>
  <c r="G48"/>
  <c r="H21"/>
  <c r="G21"/>
  <c r="D21"/>
  <c r="E21" s="1"/>
  <c r="I20"/>
  <c r="F20"/>
  <c r="E20"/>
  <c r="C20"/>
  <c r="G19"/>
  <c r="H18"/>
  <c r="H17"/>
  <c r="H16"/>
  <c r="H15"/>
  <c r="H14"/>
  <c r="G12"/>
  <c r="E12"/>
  <c r="G10"/>
  <c r="I7"/>
  <c r="H11"/>
  <c r="F10"/>
  <c r="C10"/>
  <c r="E10" s="1"/>
  <c r="H9"/>
  <c r="G9"/>
  <c r="H8"/>
  <c r="G7"/>
  <c r="F7"/>
  <c r="E8"/>
  <c r="E9"/>
  <c r="E11"/>
  <c r="E13"/>
  <c r="E14"/>
  <c r="E15"/>
  <c r="E16"/>
  <c r="E17"/>
  <c r="E18"/>
  <c r="E19"/>
  <c r="C7"/>
  <c r="E7" s="1"/>
  <c r="G6"/>
  <c r="F6"/>
  <c r="E6"/>
  <c r="J60" i="2" l="1"/>
  <c r="J281"/>
  <c r="R92"/>
  <c r="R118" s="1"/>
  <c r="R154" s="1"/>
  <c r="I24" i="1"/>
  <c r="M33"/>
  <c r="M34" s="1"/>
  <c r="G41"/>
  <c r="I41" s="1"/>
  <c r="E24"/>
  <c r="E61" s="1"/>
  <c r="G24"/>
  <c r="H24"/>
  <c r="F24"/>
  <c r="G51"/>
  <c r="F51"/>
  <c r="G54" l="1"/>
  <c r="G61"/>
  <c r="E64"/>
  <c r="G64" s="1"/>
</calcChain>
</file>

<file path=xl/sharedStrings.xml><?xml version="1.0" encoding="utf-8"?>
<sst xmlns="http://schemas.openxmlformats.org/spreadsheetml/2006/main" count="819" uniqueCount="160">
  <si>
    <t>TELHADO</t>
  </si>
  <si>
    <t>ÁREA</t>
  </si>
  <si>
    <t>CUMEEIRA</t>
  </si>
  <si>
    <t>BEIRAL</t>
  </si>
  <si>
    <t>COMP</t>
  </si>
  <si>
    <t>LARG</t>
  </si>
  <si>
    <t>m</t>
  </si>
  <si>
    <t>m²</t>
  </si>
  <si>
    <t>RUFO</t>
  </si>
  <si>
    <t>CALHA</t>
  </si>
  <si>
    <t>SALA 10,11</t>
  </si>
  <si>
    <t>HALL , ESCADA</t>
  </si>
  <si>
    <t>WC</t>
  </si>
  <si>
    <t>COZINHA</t>
  </si>
  <si>
    <t>MATEM.</t>
  </si>
  <si>
    <t>SALA 1 A 8</t>
  </si>
  <si>
    <t>VICE DIREÇÃO</t>
  </si>
  <si>
    <t>PROPAV</t>
  </si>
  <si>
    <t>HALL</t>
  </si>
  <si>
    <t>SIMONE, ALMOX</t>
  </si>
  <si>
    <t>BIOLOG.</t>
  </si>
  <si>
    <t>REMIFOR</t>
  </si>
  <si>
    <t>PÓS, DORA, GEOGRAF.</t>
  </si>
  <si>
    <t>GRAFICA</t>
  </si>
  <si>
    <t>MATEMAT.</t>
  </si>
  <si>
    <t>SALÃO</t>
  </si>
  <si>
    <t>somas</t>
  </si>
  <si>
    <t>R$/UNIT</t>
  </si>
  <si>
    <t>pç</t>
  </si>
  <si>
    <t>CUMEEIRA CERAMICA (30cm)</t>
  </si>
  <si>
    <t xml:space="preserve">CALHA METÁLICA  - para beiral </t>
  </si>
  <si>
    <t>Tubo PVC 100mm para água pluvial</t>
  </si>
  <si>
    <t>Joelho 45º PVC 100mm</t>
  </si>
  <si>
    <t>Total</t>
  </si>
  <si>
    <t>TELHA FIBRO CIMENTO   183x110x6mm</t>
  </si>
  <si>
    <t>RUFO METÁLICO</t>
  </si>
  <si>
    <t>M</t>
  </si>
  <si>
    <t>MO (40%)</t>
  </si>
  <si>
    <t>Beiral</t>
  </si>
  <si>
    <t>Reboco em platibanda</t>
  </si>
  <si>
    <t>total s/BDI</t>
  </si>
  <si>
    <t>TOTAL C/BDI</t>
  </si>
  <si>
    <t>TELHADO - CCP_CENTRO</t>
  </si>
  <si>
    <t>TELHADO - CCP_CAMPUS</t>
  </si>
  <si>
    <t>MÃO FRANCESA CADA 5m em viga U 100x40x3/16"</t>
  </si>
  <si>
    <t>VIGA U  RIGIDO 100X40X3 mm</t>
  </si>
  <si>
    <t>R$/UNIT (mat+montagem)</t>
  </si>
  <si>
    <t xml:space="preserve">Telhado CCP-CENTRO: 1_Retirada de telha francesa, duplana,fibro-cimento. 2_ Rebocar platibanda(onde vai rufo). 3_coriigir/reforçar madeiramento. 4_ colocar rufo  e calha em peças novas. 5- COLOCAR TELHA FIBRO-CIMENTO 6mm. Colocar cumeeira (capa) de ceramica novas. </t>
  </si>
  <si>
    <t>Serviço de remoções e bota-foras</t>
  </si>
  <si>
    <t>BEIRAL - CCP_CAMPUS.  Serviço: Colocação de terça com mão francesa, ao longo do beiral do BLOCO A (66,0m)  e  BLOCO F (66,0m). Mão francesa parafusada com parabolt na viga de concreto, 1 peça a cada 5m. Fixação da telha na viga U. Todas peças metálicas pré pintadas com fundo e acabamento em esmalte.</t>
  </si>
  <si>
    <t xml:space="preserve">Total orçamentário para os dois serviços (troca de telhado{Centro] + reforço dos beiras [Campus] = </t>
  </si>
  <si>
    <t>Total  arredondado=</t>
  </si>
  <si>
    <t>TELHADO CCP - UNIDADE CENTRO</t>
  </si>
  <si>
    <t>Nota: As dimensões (comprimentos) do telhado são em verdadeira grandeza (não são "em planta"). Portanto, tamanho real do telhado.</t>
  </si>
  <si>
    <t>94226 SUBCOBERTURA COM MANTA PLÁSTICA REVESTIDA POR PELÍCULA DE ALUMÍNO,   M2    R$  15,74</t>
  </si>
  <si>
    <t>área</t>
  </si>
  <si>
    <t>R$/m²</t>
  </si>
  <si>
    <t>total</t>
  </si>
  <si>
    <t>74245/001 PINTURA ACRILICA EM PISO CIMENTADO DUAS DEMAOS M2   R$ 14,46</t>
  </si>
  <si>
    <t>ou</t>
  </si>
  <si>
    <t>Complemantação Opcional : proteção térmica</t>
  </si>
  <si>
    <t>Comentário:</t>
  </si>
  <si>
    <t>O telhado do Salão corresponde as +- 11%, que pode ser diminuido do orçamento, visto q não apresenta problemas. Idem para Gráfica  (3%).   Subtraindo Salão + Gráfica, orçamento do telhado fica +-  R$ 155.000,00 + R$ 30.000,00 para película, totalizando R$ 185.000,00 para( telhado) + R$20.000,00 para beiral do campus.  Total geral estimado R$ 205.000,00</t>
  </si>
  <si>
    <t>TIRAR DO ORÇAMENTO TROCA DA TELHA DA SALA 11 (SUPERIOR)</t>
  </si>
  <si>
    <t>LAB. ZANATA</t>
  </si>
  <si>
    <t>mão de obra</t>
  </si>
  <si>
    <t>TELHADO Nº</t>
  </si>
  <si>
    <t>TELHA</t>
  </si>
  <si>
    <t>MADEIRAMENTO</t>
  </si>
  <si>
    <t>BEIRAL EM FORRO DE PVC</t>
  </si>
  <si>
    <t>comp.1</t>
  </si>
  <si>
    <t>comp.2</t>
  </si>
  <si>
    <t>comp.3</t>
  </si>
  <si>
    <t>comp.4</t>
  </si>
  <si>
    <t>comp.5</t>
  </si>
  <si>
    <t>comp.6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</si>
  <si>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</si>
  <si>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 xml:space="preserve"> un.</t>
  </si>
  <si>
    <t>qde.</t>
  </si>
  <si>
    <t>MATERIAL</t>
  </si>
  <si>
    <t>TOTAL</t>
  </si>
  <si>
    <t>FONECIMENTO E INSTALAÇÃO DE FORRO , PVC BRANCO - O forro em réguas de PVC  tipo perfil com réguas de 20 cm de largura útil por 10 mm de espessura, perfil de 200 mm na cor branca, liso ou frisado.</t>
  </si>
  <si>
    <t>TELHAMENTO COM TELHA ONDULADA DE FIBROCIMENTO E = 6 MM, COM RECOBRIMENTO LATERAL DE 1 1/4 DE ONDA PARA TELHADO COM INCLINAÇÃO MÁXIMA DE 10°, COM ATÉ 2 ÁGUAS</t>
  </si>
  <si>
    <t xml:space="preserve"> CUMEEIRA PARA TELHA DE FIBROCIMENTO ONDULADA E = 6 MM, INCLUSO ACESSÓRIOS</t>
  </si>
  <si>
    <t xml:space="preserve"> RUFO EM CHAPA DE AÇO GALVANIZADO NÚMERO 24, CORTE DE 50 CM, INCLUSO TRANSPORTE M 20,24 3,98 24,22</t>
  </si>
  <si>
    <t>CALHA EM CHAPA DE AÇO GALVANIZADO NÚMERO 24, DESENVOLVIMENTO DE 100 CM, INCLUSO TRANSPORTE VERTICAL. AF_06/2016</t>
  </si>
  <si>
    <t>Referência SINAPI: DEZEMBRO de 2016 - Vigência: FEVEREIRO de 2017</t>
  </si>
  <si>
    <t>REMOÇÃO DE TELHAS</t>
  </si>
  <si>
    <t>REMOÇÃO DE CALHAS E RUFOS</t>
  </si>
  <si>
    <t>REMOÇÃO DE ESTRUTURA DE MADEIRA</t>
  </si>
  <si>
    <t>EMBOÇO NA PLATIBANDA</t>
  </si>
  <si>
    <t>EMBOÇO OU MASSA ÚNICA EM ARGAMASSA TRAÇO 1:2:8, PREPARO MANUAL, APLICADA MANUALMENTE EM PANOS CEGOS DE FACHADA (SEM PRESENÇA DE VÃOS), ESPESSURA DE 25 MM.</t>
  </si>
  <si>
    <t xml:space="preserve"> REMOCAO DE CALHAS E CONDUTORES DE AGUAS PLUVIAIS </t>
  </si>
  <si>
    <t>RETIRADA DE ESTRUTURA DE MADEIRA PONTALETEADA PARA TELHAS CERAMICAS OU DE VIDRO</t>
  </si>
  <si>
    <t>comp.7</t>
  </si>
  <si>
    <t>comp.8</t>
  </si>
  <si>
    <t>comp.9</t>
  </si>
  <si>
    <t>comp.10</t>
  </si>
  <si>
    <t>LOCAL</t>
  </si>
  <si>
    <t>COMPR.</t>
  </si>
  <si>
    <t>LARG.</t>
  </si>
  <si>
    <t>nº</t>
  </si>
  <si>
    <t>II - DIMENSÕES :TELHADO CCP - UNIDADE CENTRO</t>
  </si>
  <si>
    <t>III - ORÇAMENTO DETALHADO</t>
  </si>
  <si>
    <t>un.</t>
  </si>
  <si>
    <t>R$</t>
  </si>
  <si>
    <t>material</t>
  </si>
  <si>
    <t>m.de obra</t>
  </si>
  <si>
    <t>R$ ítem</t>
  </si>
  <si>
    <t>s/ BDI</t>
  </si>
  <si>
    <t>c/ BDI</t>
  </si>
  <si>
    <t>comp. 10</t>
  </si>
  <si>
    <t>I - COMPOSIÇÃO:  PREÇOS UNITÁRIOS (SEM BDI)</t>
  </si>
  <si>
    <t xml:space="preserve">BDI = </t>
  </si>
  <si>
    <t>MATEMAT. -SALA DE PESQUISAS</t>
  </si>
  <si>
    <t>TOTAL GERAL</t>
  </si>
  <si>
    <t>CAMPUS</t>
  </si>
  <si>
    <t>BLOCO A E BLOCO F</t>
  </si>
  <si>
    <t>VIGA U ENRIGECIDO 100x40x3MM</t>
  </si>
  <si>
    <t>TELHA CALHETÃO ( 7,40 X 1,0)M X8MM</t>
  </si>
  <si>
    <t>BLOCO A  e BLOCO F - TERÇA METÁLICA</t>
  </si>
  <si>
    <t>TOTAL ORÇAMENTÁRIO</t>
  </si>
  <si>
    <t xml:space="preserve"> DEMOLICAO DE TELHAS CERÂMICA OU FIBRO CIMENTO</t>
  </si>
  <si>
    <t>PROF. BIOLOGIA [ANEXO ESTACIONAMEMTO]</t>
  </si>
  <si>
    <t>REMIFOR [ANEXO ESTACIONAMEMTO]</t>
  </si>
  <si>
    <t>PÓS, DORA, GEOGRAF. [ANEXO ESTACIONAMEMTO]</t>
  </si>
  <si>
    <t>HALL [ENTRADA PRINCIPAL]</t>
  </si>
  <si>
    <t>PROPAV [ANEXO HALL]</t>
  </si>
  <si>
    <t>VICE DIREÇÃO [ANEXO PROPAV]</t>
  </si>
  <si>
    <t>SALA 1 A 8 [ANEXO COZINHA]</t>
  </si>
  <si>
    <t>WC [ANEXO SALA 1 A 8]</t>
  </si>
  <si>
    <t>HALL , ESCADA [ANEXO BIBLIOTECA]</t>
  </si>
  <si>
    <t>SALÃO NOBRE</t>
  </si>
  <si>
    <t>SIMONE, ALMOXARIFADO [FRENTE AO SALÃO NOBRE]</t>
  </si>
  <si>
    <t>PROF. MATEM. [BLOCO DE SALAS 1 A 6]</t>
  </si>
  <si>
    <t>SALA 7 A 11 [SUPERIOR BIBLIOTECA]</t>
  </si>
  <si>
    <t>LAB. ZANATA [ANEXO A QUADRA]</t>
  </si>
  <si>
    <t>total (S/BDI)</t>
  </si>
  <si>
    <t>LIMPEZA INICIAL - INCLUSIVE RETIRADA DE ENTULHOS DA CCP-CENTRO, CANTEIRO,ANDAIME, LIMPEZA FINAL, BOTA FORA.</t>
  </si>
  <si>
    <t>Universidade Estadual do Norte do Paraná - UENP</t>
  </si>
  <si>
    <t xml:space="preserve">                            Divisão de Obras e Manutenção</t>
  </si>
  <si>
    <t>CRONOGRAMA FÍSICO-FINANCEIRO</t>
  </si>
  <si>
    <t>ITEM</t>
  </si>
  <si>
    <t>DESCRIÇÃO DOS SERVIÇOS</t>
  </si>
  <si>
    <t>TOTAL SIMPLES EM R$</t>
  </si>
  <si>
    <t>GERAL</t>
  </si>
  <si>
    <t>Acumulados</t>
  </si>
  <si>
    <t>%</t>
  </si>
  <si>
    <t>SERVIÇOS A EXECUTAR em  % e em R$</t>
  </si>
  <si>
    <t>45 dias</t>
  </si>
  <si>
    <t>prazo de execução: 45 dias</t>
  </si>
  <si>
    <t>VALOR DOS SERVIÇOS</t>
  </si>
  <si>
    <t>(R$)</t>
  </si>
  <si>
    <t>Engenheiro - CREA Nº</t>
  </si>
  <si>
    <t>OBRA: REFORMA DO TELHADO</t>
  </si>
  <si>
    <t>LOCAL: UENP CCP _CORNÉLIO PROCÓPIO</t>
  </si>
  <si>
    <t xml:space="preserve">VALOR : </t>
  </si>
  <si>
    <t xml:space="preserve">BDI  = </t>
  </si>
  <si>
    <t xml:space="preserve">                                      Decreto Estadual n.º3909, Publicado no Diario Oficial do Estado do Paraná (01/12/2008)</t>
  </si>
  <si>
    <t>UENP CCP</t>
  </si>
</sst>
</file>

<file path=xl/styles.xml><?xml version="1.0" encoding="utf-8"?>
<styleSheet xmlns="http://schemas.openxmlformats.org/spreadsheetml/2006/main">
  <numFmts count="5">
    <numFmt numFmtId="7" formatCode="&quot;R$&quot;\ #,##0.00;\-&quot;R$&quot;\ #,##0.00"/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i/>
      <sz val="12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356">
    <xf numFmtId="0" fontId="0" fillId="0" borderId="0" xfId="0"/>
    <xf numFmtId="164" fontId="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6" xfId="0" applyBorder="1"/>
    <xf numFmtId="43" fontId="0" fillId="0" borderId="5" xfId="1" applyFont="1" applyBorder="1" applyAlignment="1"/>
    <xf numFmtId="43" fontId="0" fillId="0" borderId="6" xfId="1" applyFont="1" applyBorder="1" applyAlignment="1"/>
    <xf numFmtId="43" fontId="0" fillId="0" borderId="5" xfId="1" applyFont="1" applyBorder="1"/>
    <xf numFmtId="43" fontId="0" fillId="0" borderId="6" xfId="1" applyFont="1" applyBorder="1"/>
    <xf numFmtId="0" fontId="0" fillId="0" borderId="8" xfId="0" applyBorder="1"/>
    <xf numFmtId="0" fontId="0" fillId="0" borderId="9" xfId="0" applyBorder="1"/>
    <xf numFmtId="43" fontId="0" fillId="0" borderId="17" xfId="1" applyFont="1" applyBorder="1" applyAlignment="1">
      <alignment horizontal="center"/>
    </xf>
    <xf numFmtId="0" fontId="0" fillId="0" borderId="0" xfId="0" applyBorder="1"/>
    <xf numFmtId="43" fontId="0" fillId="0" borderId="0" xfId="0" applyNumberFormat="1" applyBorder="1"/>
    <xf numFmtId="43" fontId="0" fillId="0" borderId="0" xfId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9" fontId="0" fillId="0" borderId="4" xfId="1" applyNumberFormat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9" xfId="0" applyNumberFormat="1" applyBorder="1"/>
    <xf numFmtId="43" fontId="0" fillId="0" borderId="10" xfId="1" applyFont="1" applyBorder="1" applyAlignment="1">
      <alignment horizontal="center"/>
    </xf>
    <xf numFmtId="43" fontId="0" fillId="0" borderId="25" xfId="1" applyFont="1" applyBorder="1" applyAlignment="1">
      <alignment horizontal="center"/>
    </xf>
    <xf numFmtId="0" fontId="0" fillId="0" borderId="26" xfId="0" applyBorder="1"/>
    <xf numFmtId="9" fontId="0" fillId="0" borderId="27" xfId="1" applyNumberFormat="1" applyFont="1" applyBorder="1" applyAlignment="1">
      <alignment horizontal="center"/>
    </xf>
    <xf numFmtId="0" fontId="0" fillId="0" borderId="28" xfId="0" applyBorder="1"/>
    <xf numFmtId="43" fontId="0" fillId="0" borderId="29" xfId="1" applyFont="1" applyBorder="1" applyAlignment="1">
      <alignment horizontal="center"/>
    </xf>
    <xf numFmtId="43" fontId="0" fillId="0" borderId="28" xfId="1" applyFont="1" applyBorder="1" applyAlignment="1"/>
    <xf numFmtId="43" fontId="0" fillId="0" borderId="28" xfId="1" applyFont="1" applyBorder="1"/>
    <xf numFmtId="0" fontId="0" fillId="0" borderId="30" xfId="0" applyBorder="1"/>
    <xf numFmtId="0" fontId="0" fillId="0" borderId="31" xfId="0" applyBorder="1"/>
    <xf numFmtId="43" fontId="0" fillId="0" borderId="31" xfId="0" applyNumberFormat="1" applyBorder="1"/>
    <xf numFmtId="43" fontId="0" fillId="0" borderId="32" xfId="1" applyFont="1" applyBorder="1" applyAlignment="1">
      <alignment horizontal="center"/>
    </xf>
    <xf numFmtId="7" fontId="0" fillId="0" borderId="1" xfId="1" applyNumberFormat="1" applyFont="1" applyBorder="1" applyAlignment="1">
      <alignment horizontal="center"/>
    </xf>
    <xf numFmtId="43" fontId="0" fillId="0" borderId="36" xfId="1" applyFon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43" fontId="0" fillId="0" borderId="37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0" fillId="0" borderId="8" xfId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0" fillId="0" borderId="33" xfId="1" applyFont="1" applyBorder="1" applyAlignment="1">
      <alignment horizontal="center"/>
    </xf>
    <xf numFmtId="164" fontId="0" fillId="0" borderId="34" xfId="1" applyNumberFormat="1" applyFont="1" applyBorder="1" applyAlignment="1">
      <alignment horizontal="center"/>
    </xf>
    <xf numFmtId="43" fontId="0" fillId="0" borderId="34" xfId="1" applyFont="1" applyBorder="1" applyAlignment="1">
      <alignment horizontal="center"/>
    </xf>
    <xf numFmtId="43" fontId="0" fillId="0" borderId="35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164" fontId="0" fillId="0" borderId="38" xfId="1" applyNumberFormat="1" applyFont="1" applyBorder="1" applyAlignment="1">
      <alignment horizontal="center" vertical="center"/>
    </xf>
    <xf numFmtId="164" fontId="0" fillId="0" borderId="39" xfId="1" applyNumberFormat="1" applyFont="1" applyBorder="1" applyAlignment="1">
      <alignment horizontal="center" vertical="center"/>
    </xf>
    <xf numFmtId="43" fontId="0" fillId="0" borderId="39" xfId="1" applyFont="1" applyBorder="1" applyAlignment="1">
      <alignment horizontal="left" vertical="center"/>
    </xf>
    <xf numFmtId="43" fontId="0" fillId="0" borderId="39" xfId="1" applyFont="1" applyBorder="1" applyAlignment="1">
      <alignment horizontal="center" vertical="center"/>
    </xf>
    <xf numFmtId="43" fontId="0" fillId="0" borderId="39" xfId="1" applyFont="1" applyBorder="1" applyAlignment="1">
      <alignment horizontal="center" vertical="center" wrapText="1"/>
    </xf>
    <xf numFmtId="43" fontId="0" fillId="0" borderId="40" xfId="1" applyFont="1" applyBorder="1" applyAlignment="1">
      <alignment horizontal="center" vertical="center" wrapText="1"/>
    </xf>
    <xf numFmtId="43" fontId="0" fillId="0" borderId="0" xfId="1" applyFont="1" applyBorder="1" applyAlignment="1">
      <alignment horizontal="center" vertical="center"/>
    </xf>
    <xf numFmtId="43" fontId="0" fillId="0" borderId="0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36" xfId="0" applyBorder="1"/>
    <xf numFmtId="0" fontId="0" fillId="0" borderId="37" xfId="0" applyBorder="1"/>
    <xf numFmtId="0" fontId="0" fillId="0" borderId="15" xfId="0" applyBorder="1"/>
    <xf numFmtId="0" fontId="0" fillId="0" borderId="16" xfId="0" applyBorder="1"/>
    <xf numFmtId="0" fontId="0" fillId="0" borderId="0" xfId="0" applyBorder="1" applyAlignment="1">
      <alignment vertical="center"/>
    </xf>
    <xf numFmtId="43" fontId="0" fillId="0" borderId="0" xfId="1" applyFont="1" applyAlignment="1">
      <alignment horizontal="center" vertical="center"/>
    </xf>
    <xf numFmtId="164" fontId="0" fillId="0" borderId="41" xfId="1" applyNumberFormat="1" applyFont="1" applyBorder="1" applyAlignment="1">
      <alignment horizontal="center"/>
    </xf>
    <xf numFmtId="43" fontId="0" fillId="0" borderId="6" xfId="1" applyFont="1" applyBorder="1" applyAlignment="1">
      <alignment horizontal="center" vertical="center"/>
    </xf>
    <xf numFmtId="43" fontId="0" fillId="0" borderId="45" xfId="1" applyFont="1" applyBorder="1" applyAlignment="1">
      <alignment horizontal="center"/>
    </xf>
    <xf numFmtId="164" fontId="0" fillId="0" borderId="45" xfId="1" applyNumberFormat="1" applyFont="1" applyBorder="1" applyAlignment="1">
      <alignment horizontal="center"/>
    </xf>
    <xf numFmtId="164" fontId="0" fillId="0" borderId="49" xfId="1" applyNumberFormat="1" applyFont="1" applyBorder="1" applyAlignment="1">
      <alignment horizontal="center"/>
    </xf>
    <xf numFmtId="164" fontId="0" fillId="1" borderId="49" xfId="1" applyNumberFormat="1" applyFont="1" applyFill="1" applyBorder="1" applyAlignment="1">
      <alignment horizontal="center"/>
    </xf>
    <xf numFmtId="164" fontId="0" fillId="2" borderId="49" xfId="1" applyNumberFormat="1" applyFont="1" applyFill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0" xfId="0" applyNumberFormat="1"/>
    <xf numFmtId="164" fontId="0" fillId="0" borderId="36" xfId="1" applyNumberFormat="1" applyFont="1" applyBorder="1" applyAlignment="1">
      <alignment horizontal="center"/>
    </xf>
    <xf numFmtId="0" fontId="0" fillId="3" borderId="33" xfId="0" applyFill="1" applyBorder="1"/>
    <xf numFmtId="0" fontId="0" fillId="3" borderId="34" xfId="0" applyFill="1" applyBorder="1"/>
    <xf numFmtId="0" fontId="0" fillId="3" borderId="34" xfId="0" applyFill="1" applyBorder="1" applyAlignment="1">
      <alignment vertical="center"/>
    </xf>
    <xf numFmtId="0" fontId="0" fillId="3" borderId="35" xfId="0" applyFill="1" applyBorder="1"/>
    <xf numFmtId="0" fontId="0" fillId="3" borderId="36" xfId="0" applyFill="1" applyBorder="1"/>
    <xf numFmtId="0" fontId="0" fillId="3" borderId="37" xfId="0" applyFill="1" applyBorder="1"/>
    <xf numFmtId="0" fontId="0" fillId="3" borderId="43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/>
    </xf>
    <xf numFmtId="43" fontId="0" fillId="3" borderId="3" xfId="1" applyFont="1" applyFill="1" applyBorder="1" applyAlignment="1">
      <alignment horizontal="left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wrapText="1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center"/>
    </xf>
    <xf numFmtId="43" fontId="0" fillId="3" borderId="0" xfId="1" applyFont="1" applyFill="1" applyBorder="1" applyAlignment="1">
      <alignment horizontal="left"/>
    </xf>
    <xf numFmtId="0" fontId="0" fillId="3" borderId="37" xfId="0" applyFill="1" applyBorder="1" applyAlignment="1"/>
    <xf numFmtId="0" fontId="0" fillId="3" borderId="37" xfId="0" applyFill="1" applyBorder="1" applyAlignment="1">
      <alignment wrapText="1"/>
    </xf>
    <xf numFmtId="0" fontId="0" fillId="3" borderId="0" xfId="0" applyFill="1" applyBorder="1"/>
    <xf numFmtId="0" fontId="0" fillId="3" borderId="0" xfId="0" applyFill="1" applyBorder="1" applyAlignment="1">
      <alignment vertical="center"/>
    </xf>
    <xf numFmtId="164" fontId="0" fillId="3" borderId="0" xfId="1" applyNumberFormat="1" applyFont="1" applyFill="1" applyBorder="1" applyAlignment="1">
      <alignment vertical="center"/>
    </xf>
    <xf numFmtId="164" fontId="0" fillId="3" borderId="38" xfId="1" applyNumberFormat="1" applyFont="1" applyFill="1" applyBorder="1" applyAlignment="1">
      <alignment horizontal="center"/>
    </xf>
    <xf numFmtId="43" fontId="0" fillId="3" borderId="39" xfId="1" applyFont="1" applyFill="1" applyBorder="1" applyAlignment="1">
      <alignment horizontal="left"/>
    </xf>
    <xf numFmtId="0" fontId="0" fillId="3" borderId="39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41" xfId="0" applyFill="1" applyBorder="1" applyAlignment="1">
      <alignment wrapText="1"/>
    </xf>
    <xf numFmtId="0" fontId="0" fillId="3" borderId="41" xfId="0" applyFill="1" applyBorder="1" applyAlignment="1">
      <alignment horizontal="center" vertical="center" wrapText="1"/>
    </xf>
    <xf numFmtId="43" fontId="0" fillId="3" borderId="41" xfId="1" applyFont="1" applyFill="1" applyBorder="1" applyAlignment="1">
      <alignment horizontal="center" vertical="center" wrapText="1"/>
    </xf>
    <xf numFmtId="43" fontId="0" fillId="3" borderId="41" xfId="1" applyFont="1" applyFill="1" applyBorder="1" applyAlignment="1">
      <alignment vertical="center" wrapText="1"/>
    </xf>
    <xf numFmtId="43" fontId="0" fillId="3" borderId="42" xfId="1" applyFont="1" applyFill="1" applyBorder="1" applyAlignment="1">
      <alignment vertical="center" wrapText="1"/>
    </xf>
    <xf numFmtId="0" fontId="0" fillId="3" borderId="15" xfId="0" applyFill="1" applyBorder="1"/>
    <xf numFmtId="0" fontId="0" fillId="3" borderId="16" xfId="0" applyFill="1" applyBorder="1"/>
    <xf numFmtId="0" fontId="0" fillId="4" borderId="33" xfId="0" applyFill="1" applyBorder="1"/>
    <xf numFmtId="43" fontId="0" fillId="4" borderId="2" xfId="1" applyFont="1" applyFill="1" applyBorder="1" applyAlignment="1">
      <alignment horizontal="center"/>
    </xf>
    <xf numFmtId="164" fontId="0" fillId="4" borderId="49" xfId="1" applyNumberFormat="1" applyFont="1" applyFill="1" applyBorder="1" applyAlignment="1">
      <alignment horizontal="center"/>
    </xf>
    <xf numFmtId="43" fontId="0" fillId="4" borderId="3" xfId="1" applyFont="1" applyFill="1" applyBorder="1" applyAlignment="1">
      <alignment horizontal="center"/>
    </xf>
    <xf numFmtId="43" fontId="0" fillId="4" borderId="4" xfId="1" applyFont="1" applyFill="1" applyBorder="1" applyAlignment="1">
      <alignment horizontal="center"/>
    </xf>
    <xf numFmtId="43" fontId="0" fillId="4" borderId="8" xfId="1" applyFont="1" applyFill="1" applyBorder="1" applyAlignment="1">
      <alignment horizontal="center"/>
    </xf>
    <xf numFmtId="164" fontId="0" fillId="4" borderId="41" xfId="1" applyNumberFormat="1" applyFont="1" applyFill="1" applyBorder="1" applyAlignment="1">
      <alignment horizontal="center"/>
    </xf>
    <xf numFmtId="43" fontId="0" fillId="4" borderId="9" xfId="1" applyFont="1" applyFill="1" applyBorder="1" applyAlignment="1">
      <alignment horizontal="center"/>
    </xf>
    <xf numFmtId="0" fontId="0" fillId="4" borderId="9" xfId="0" applyFill="1" applyBorder="1"/>
    <xf numFmtId="43" fontId="0" fillId="4" borderId="10" xfId="1" applyFont="1" applyFill="1" applyBorder="1" applyAlignment="1">
      <alignment horizontal="center"/>
    </xf>
    <xf numFmtId="43" fontId="0" fillId="4" borderId="52" xfId="1" applyFont="1" applyFill="1" applyBorder="1" applyAlignment="1">
      <alignment horizontal="center"/>
    </xf>
    <xf numFmtId="164" fontId="0" fillId="4" borderId="45" xfId="1" applyNumberFormat="1" applyFont="1" applyFill="1" applyBorder="1" applyAlignment="1">
      <alignment horizontal="center"/>
    </xf>
    <xf numFmtId="43" fontId="0" fillId="4" borderId="45" xfId="1" applyFont="1" applyFill="1" applyBorder="1" applyAlignment="1">
      <alignment horizontal="center"/>
    </xf>
    <xf numFmtId="43" fontId="0" fillId="4" borderId="53" xfId="1" applyFont="1" applyFill="1" applyBorder="1" applyAlignment="1">
      <alignment horizontal="center"/>
    </xf>
    <xf numFmtId="43" fontId="0" fillId="4" borderId="5" xfId="1" applyFont="1" applyFill="1" applyBorder="1" applyAlignment="1">
      <alignment horizontal="center"/>
    </xf>
    <xf numFmtId="164" fontId="0" fillId="4" borderId="6" xfId="1" applyNumberFormat="1" applyFont="1" applyFill="1" applyBorder="1" applyAlignment="1">
      <alignment horizontal="center"/>
    </xf>
    <xf numFmtId="43" fontId="0" fillId="4" borderId="6" xfId="1" applyFont="1" applyFill="1" applyBorder="1" applyAlignment="1">
      <alignment horizontal="center"/>
    </xf>
    <xf numFmtId="43" fontId="0" fillId="4" borderId="6" xfId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/>
    </xf>
    <xf numFmtId="43" fontId="0" fillId="4" borderId="15" xfId="1" applyFont="1" applyFill="1" applyBorder="1" applyAlignment="1">
      <alignment horizontal="center"/>
    </xf>
    <xf numFmtId="164" fontId="0" fillId="4" borderId="14" xfId="1" applyNumberFormat="1" applyFont="1" applyFill="1" applyBorder="1" applyAlignment="1">
      <alignment horizontal="center"/>
    </xf>
    <xf numFmtId="43" fontId="0" fillId="4" borderId="14" xfId="1" applyFont="1" applyFill="1" applyBorder="1" applyAlignment="1">
      <alignment horizont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/>
    </xf>
    <xf numFmtId="0" fontId="0" fillId="5" borderId="33" xfId="0" applyFill="1" applyBorder="1"/>
    <xf numFmtId="43" fontId="4" fillId="5" borderId="40" xfId="0" applyNumberFormat="1" applyFont="1" applyFill="1" applyBorder="1" applyAlignment="1"/>
    <xf numFmtId="0" fontId="0" fillId="5" borderId="36" xfId="0" applyFill="1" applyBorder="1"/>
    <xf numFmtId="164" fontId="0" fillId="5" borderId="2" xfId="1" applyNumberFormat="1" applyFont="1" applyFill="1" applyBorder="1" applyAlignment="1">
      <alignment horizontal="center"/>
    </xf>
    <xf numFmtId="43" fontId="0" fillId="5" borderId="3" xfId="1" applyFont="1" applyFill="1" applyBorder="1" applyAlignment="1">
      <alignment horizontal="center"/>
    </xf>
    <xf numFmtId="0" fontId="0" fillId="5" borderId="3" xfId="0" applyFill="1" applyBorder="1"/>
    <xf numFmtId="0" fontId="0" fillId="5" borderId="3" xfId="0" applyFill="1" applyBorder="1" applyAlignment="1">
      <alignment vertical="center"/>
    </xf>
    <xf numFmtId="0" fontId="0" fillId="5" borderId="48" xfId="0" applyFill="1" applyBorder="1" applyAlignment="1">
      <alignment vertical="center"/>
    </xf>
    <xf numFmtId="0" fontId="0" fillId="5" borderId="1" xfId="0" applyFill="1" applyBorder="1" applyAlignment="1">
      <alignment horizontal="center"/>
    </xf>
    <xf numFmtId="164" fontId="0" fillId="5" borderId="8" xfId="1" applyNumberFormat="1" applyFont="1" applyFill="1" applyBorder="1" applyAlignment="1">
      <alignment horizontal="center" vertical="center"/>
    </xf>
    <xf numFmtId="43" fontId="0" fillId="5" borderId="9" xfId="1" applyFont="1" applyFill="1" applyBorder="1" applyAlignment="1">
      <alignment horizontal="center"/>
    </xf>
    <xf numFmtId="0" fontId="0" fillId="5" borderId="14" xfId="0" applyFill="1" applyBorder="1"/>
    <xf numFmtId="0" fontId="0" fillId="5" borderId="9" xfId="0" applyFill="1" applyBorder="1"/>
    <xf numFmtId="0" fontId="0" fillId="5" borderId="9" xfId="0" applyFill="1" applyBorder="1" applyAlignment="1">
      <alignment vertical="center"/>
    </xf>
    <xf numFmtId="0" fontId="0" fillId="5" borderId="50" xfId="0" applyFill="1" applyBorder="1" applyAlignment="1">
      <alignment vertical="center"/>
    </xf>
    <xf numFmtId="43" fontId="0" fillId="5" borderId="1" xfId="0" applyNumberFormat="1" applyFill="1" applyBorder="1"/>
    <xf numFmtId="164" fontId="0" fillId="5" borderId="36" xfId="0" applyNumberFormat="1" applyFill="1" applyBorder="1"/>
    <xf numFmtId="43" fontId="0" fillId="5" borderId="3" xfId="0" applyNumberFormat="1" applyFill="1" applyBorder="1"/>
    <xf numFmtId="43" fontId="0" fillId="5" borderId="3" xfId="0" applyNumberFormat="1" applyFill="1" applyBorder="1" applyAlignment="1">
      <alignment vertical="center"/>
    </xf>
    <xf numFmtId="43" fontId="0" fillId="5" borderId="48" xfId="0" applyNumberFormat="1" applyFill="1" applyBorder="1" applyAlignment="1">
      <alignment vertical="center"/>
    </xf>
    <xf numFmtId="43" fontId="0" fillId="5" borderId="37" xfId="0" applyNumberFormat="1" applyFill="1" applyBorder="1"/>
    <xf numFmtId="164" fontId="0" fillId="5" borderId="5" xfId="1" applyNumberFormat="1" applyFont="1" applyFill="1" applyBorder="1" applyAlignment="1">
      <alignment horizontal="center"/>
    </xf>
    <xf numFmtId="0" fontId="0" fillId="5" borderId="6" xfId="0" applyFill="1" applyBorder="1"/>
    <xf numFmtId="43" fontId="0" fillId="5" borderId="6" xfId="0" applyNumberFormat="1" applyFill="1" applyBorder="1"/>
    <xf numFmtId="0" fontId="0" fillId="5" borderId="6" xfId="0" applyFill="1" applyBorder="1" applyAlignment="1">
      <alignment vertical="center"/>
    </xf>
    <xf numFmtId="43" fontId="0" fillId="5" borderId="6" xfId="0" applyNumberFormat="1" applyFill="1" applyBorder="1" applyAlignment="1">
      <alignment horizontal="center" vertical="center"/>
    </xf>
    <xf numFmtId="43" fontId="0" fillId="5" borderId="51" xfId="0" applyNumberFormat="1" applyFill="1" applyBorder="1" applyAlignment="1">
      <alignment vertical="center"/>
    </xf>
    <xf numFmtId="0" fontId="0" fillId="5" borderId="37" xfId="0" applyFill="1" applyBorder="1"/>
    <xf numFmtId="164" fontId="0" fillId="5" borderId="8" xfId="1" applyNumberFormat="1" applyFont="1" applyFill="1" applyBorder="1" applyAlignment="1">
      <alignment horizontal="center"/>
    </xf>
    <xf numFmtId="43" fontId="0" fillId="5" borderId="9" xfId="0" applyNumberFormat="1" applyFill="1" applyBorder="1"/>
    <xf numFmtId="43" fontId="0" fillId="5" borderId="9" xfId="0" applyNumberFormat="1" applyFill="1" applyBorder="1" applyAlignment="1">
      <alignment horizontal="center" vertical="center"/>
    </xf>
    <xf numFmtId="43" fontId="0" fillId="5" borderId="50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0" xfId="0" applyFill="1" applyBorder="1"/>
    <xf numFmtId="0" fontId="0" fillId="5" borderId="0" xfId="0" applyFill="1" applyBorder="1" applyAlignment="1">
      <alignment vertical="center"/>
    </xf>
    <xf numFmtId="0" fontId="0" fillId="5" borderId="3" xfId="0" applyFill="1" applyBorder="1" applyAlignment="1">
      <alignment horizontal="center"/>
    </xf>
    <xf numFmtId="164" fontId="0" fillId="5" borderId="0" xfId="0" applyNumberFormat="1" applyFill="1" applyBorder="1"/>
    <xf numFmtId="43" fontId="0" fillId="5" borderId="5" xfId="1" applyFont="1" applyFill="1" applyBorder="1" applyAlignment="1"/>
    <xf numFmtId="43" fontId="0" fillId="5" borderId="6" xfId="1" applyFont="1" applyFill="1" applyBorder="1" applyAlignment="1"/>
    <xf numFmtId="43" fontId="0" fillId="5" borderId="6" xfId="1" applyFont="1" applyFill="1" applyBorder="1"/>
    <xf numFmtId="43" fontId="0" fillId="5" borderId="6" xfId="1" applyFont="1" applyFill="1" applyBorder="1" applyAlignment="1">
      <alignment vertical="center"/>
    </xf>
    <xf numFmtId="43" fontId="0" fillId="5" borderId="6" xfId="1" applyFont="1" applyFill="1" applyBorder="1" applyAlignment="1">
      <alignment horizontal="center" vertical="center"/>
    </xf>
    <xf numFmtId="43" fontId="0" fillId="5" borderId="51" xfId="1" applyFont="1" applyFill="1" applyBorder="1" applyAlignment="1">
      <alignment vertical="center"/>
    </xf>
    <xf numFmtId="43" fontId="0" fillId="5" borderId="37" xfId="1" applyFont="1" applyFill="1" applyBorder="1"/>
    <xf numFmtId="164" fontId="0" fillId="5" borderId="0" xfId="1" applyNumberFormat="1" applyFont="1" applyFill="1" applyBorder="1" applyAlignment="1">
      <alignment horizontal="center"/>
    </xf>
    <xf numFmtId="43" fontId="0" fillId="5" borderId="0" xfId="0" applyNumberFormat="1" applyFill="1" applyBorder="1"/>
    <xf numFmtId="43" fontId="0" fillId="5" borderId="0" xfId="0" applyNumberFormat="1" applyFill="1" applyBorder="1" applyAlignment="1">
      <alignment horizontal="center" vertical="center"/>
    </xf>
    <xf numFmtId="43" fontId="0" fillId="5" borderId="0" xfId="0" applyNumberFormat="1" applyFill="1" applyBorder="1" applyAlignment="1">
      <alignment vertical="center"/>
    </xf>
    <xf numFmtId="164" fontId="0" fillId="5" borderId="11" xfId="1" applyNumberFormat="1" applyFont="1" applyFill="1" applyBorder="1" applyAlignment="1">
      <alignment horizontal="center"/>
    </xf>
    <xf numFmtId="0" fontId="0" fillId="5" borderId="12" xfId="0" applyFill="1" applyBorder="1"/>
    <xf numFmtId="43" fontId="0" fillId="5" borderId="12" xfId="0" applyNumberFormat="1" applyFill="1" applyBorder="1"/>
    <xf numFmtId="0" fontId="0" fillId="5" borderId="12" xfId="0" applyFill="1" applyBorder="1" applyAlignment="1">
      <alignment vertical="center"/>
    </xf>
    <xf numFmtId="43" fontId="0" fillId="5" borderId="12" xfId="0" applyNumberFormat="1" applyFill="1" applyBorder="1" applyAlignment="1">
      <alignment horizontal="center" vertical="center"/>
    </xf>
    <xf numFmtId="43" fontId="0" fillId="5" borderId="12" xfId="0" applyNumberFormat="1" applyFill="1" applyBorder="1" applyAlignment="1">
      <alignment vertical="center"/>
    </xf>
    <xf numFmtId="0" fontId="0" fillId="5" borderId="11" xfId="0" applyFill="1" applyBorder="1"/>
    <xf numFmtId="43" fontId="0" fillId="5" borderId="39" xfId="1" applyFont="1" applyFill="1" applyBorder="1" applyAlignment="1"/>
    <xf numFmtId="43" fontId="0" fillId="5" borderId="13" xfId="1" applyFont="1" applyFill="1" applyBorder="1"/>
    <xf numFmtId="43" fontId="0" fillId="5" borderId="6" xfId="0" applyNumberFormat="1" applyFill="1" applyBorder="1" applyAlignment="1">
      <alignment vertical="center"/>
    </xf>
    <xf numFmtId="43" fontId="0" fillId="5" borderId="9" xfId="0" applyNumberFormat="1" applyFill="1" applyBorder="1" applyAlignment="1">
      <alignment vertical="center"/>
    </xf>
    <xf numFmtId="43" fontId="0" fillId="3" borderId="9" xfId="1" applyFont="1" applyFill="1" applyBorder="1" applyAlignment="1">
      <alignment horizontal="center" vertical="center"/>
    </xf>
    <xf numFmtId="43" fontId="0" fillId="3" borderId="10" xfId="1" applyFont="1" applyFill="1" applyBorder="1" applyAlignment="1">
      <alignment horizontal="center" vertical="center"/>
    </xf>
    <xf numFmtId="43" fontId="0" fillId="3" borderId="3" xfId="1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0" xfId="1" applyFont="1" applyFill="1" applyBorder="1" applyAlignment="1">
      <alignment horizontal="center" vertical="center"/>
    </xf>
    <xf numFmtId="43" fontId="0" fillId="3" borderId="37" xfId="1" applyFont="1" applyFill="1" applyBorder="1" applyAlignment="1">
      <alignment horizontal="center" vertical="center"/>
    </xf>
    <xf numFmtId="43" fontId="0" fillId="3" borderId="0" xfId="1" applyFont="1" applyFill="1" applyBorder="1" applyAlignment="1">
      <alignment vertical="center"/>
    </xf>
    <xf numFmtId="43" fontId="0" fillId="3" borderId="39" xfId="1" applyFont="1" applyFill="1" applyBorder="1" applyAlignment="1">
      <alignment horizontal="center" vertical="center"/>
    </xf>
    <xf numFmtId="43" fontId="0" fillId="3" borderId="40" xfId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9" fontId="0" fillId="3" borderId="1" xfId="2" applyFont="1" applyFill="1" applyBorder="1" applyAlignment="1">
      <alignment vertical="center"/>
    </xf>
    <xf numFmtId="43" fontId="0" fillId="5" borderId="1" xfId="1" applyFont="1" applyFill="1" applyBorder="1"/>
    <xf numFmtId="43" fontId="0" fillId="5" borderId="54" xfId="1" applyFont="1" applyFill="1" applyBorder="1" applyAlignment="1">
      <alignment horizontal="center"/>
    </xf>
    <xf numFmtId="43" fontId="0" fillId="5" borderId="12" xfId="1" applyFont="1" applyFill="1" applyBorder="1" applyAlignment="1">
      <alignment horizontal="center"/>
    </xf>
    <xf numFmtId="43" fontId="0" fillId="5" borderId="55" xfId="1" applyFont="1" applyFill="1" applyBorder="1" applyAlignment="1">
      <alignment horizontal="center"/>
    </xf>
    <xf numFmtId="0" fontId="4" fillId="5" borderId="38" xfId="0" applyFont="1" applyFill="1" applyBorder="1" applyAlignment="1">
      <alignment horizontal="left"/>
    </xf>
    <xf numFmtId="0" fontId="4" fillId="5" borderId="39" xfId="0" applyFont="1" applyFill="1" applyBorder="1" applyAlignment="1">
      <alignment horizontal="left"/>
    </xf>
    <xf numFmtId="0" fontId="4" fillId="5" borderId="39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3" fontId="0" fillId="4" borderId="11" xfId="1" applyFont="1" applyFill="1" applyBorder="1" applyAlignment="1">
      <alignment horizontal="center"/>
    </xf>
    <xf numFmtId="43" fontId="0" fillId="4" borderId="12" xfId="1" applyFont="1" applyFill="1" applyBorder="1" applyAlignment="1">
      <alignment horizontal="center"/>
    </xf>
    <xf numFmtId="43" fontId="0" fillId="4" borderId="13" xfId="1" applyFont="1" applyFill="1" applyBorder="1" applyAlignment="1">
      <alignment horizontal="center"/>
    </xf>
    <xf numFmtId="43" fontId="3" fillId="4" borderId="11" xfId="1" applyFont="1" applyFill="1" applyBorder="1" applyAlignment="1">
      <alignment horizontal="left"/>
    </xf>
    <xf numFmtId="43" fontId="3" fillId="4" borderId="12" xfId="1" applyFont="1" applyFill="1" applyBorder="1" applyAlignment="1">
      <alignment horizontal="left"/>
    </xf>
    <xf numFmtId="43" fontId="3" fillId="4" borderId="13" xfId="1" applyFont="1" applyFill="1" applyBorder="1" applyAlignment="1">
      <alignment horizontal="left"/>
    </xf>
    <xf numFmtId="43" fontId="0" fillId="0" borderId="0" xfId="1" applyFont="1" applyBorder="1" applyAlignment="1">
      <alignment horizontal="center"/>
    </xf>
    <xf numFmtId="43" fontId="0" fillId="0" borderId="11" xfId="1" applyFont="1" applyBorder="1" applyAlignment="1">
      <alignment horizontal="center"/>
    </xf>
    <xf numFmtId="43" fontId="0" fillId="0" borderId="12" xfId="1" applyFont="1" applyBorder="1" applyAlignment="1">
      <alignment horizontal="center"/>
    </xf>
    <xf numFmtId="43" fontId="0" fillId="0" borderId="13" xfId="1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0" fontId="0" fillId="0" borderId="15" xfId="1" applyNumberFormat="1" applyFont="1" applyBorder="1" applyAlignment="1">
      <alignment horizontal="center" wrapText="1"/>
    </xf>
    <xf numFmtId="0" fontId="0" fillId="0" borderId="14" xfId="1" applyNumberFormat="1" applyFont="1" applyBorder="1" applyAlignment="1">
      <alignment horizontal="center" wrapText="1"/>
    </xf>
    <xf numFmtId="0" fontId="0" fillId="0" borderId="16" xfId="1" applyNumberFormat="1" applyFont="1" applyBorder="1" applyAlignment="1">
      <alignment horizontal="center" wrapText="1"/>
    </xf>
    <xf numFmtId="43" fontId="0" fillId="0" borderId="2" xfId="1" applyFont="1" applyBorder="1" applyAlignment="1">
      <alignment horizontal="center" wrapText="1"/>
    </xf>
    <xf numFmtId="43" fontId="0" fillId="0" borderId="3" xfId="1" applyFont="1" applyBorder="1" applyAlignment="1">
      <alignment horizontal="center" wrapText="1"/>
    </xf>
    <xf numFmtId="43" fontId="0" fillId="0" borderId="4" xfId="1" applyFont="1" applyBorder="1" applyAlignment="1">
      <alignment horizontal="center" wrapText="1"/>
    </xf>
    <xf numFmtId="0" fontId="3" fillId="0" borderId="2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1" xfId="1" applyNumberFormat="1" applyFont="1" applyBorder="1" applyAlignment="1">
      <alignment horizontal="left" vertical="center" wrapText="1"/>
    </xf>
    <xf numFmtId="0" fontId="2" fillId="0" borderId="22" xfId="1" applyNumberFormat="1" applyFont="1" applyBorder="1" applyAlignment="1">
      <alignment horizontal="left" vertical="center" wrapText="1"/>
    </xf>
    <xf numFmtId="0" fontId="2" fillId="0" borderId="23" xfId="1" applyNumberFormat="1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43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4" fontId="6" fillId="0" borderId="9" xfId="3" applyNumberFormat="1" applyFont="1" applyBorder="1"/>
    <xf numFmtId="4" fontId="6" fillId="0" borderId="10" xfId="3" applyNumberFormat="1" applyFont="1" applyBorder="1"/>
    <xf numFmtId="0" fontId="7" fillId="0" borderId="52" xfId="3" applyFont="1" applyBorder="1"/>
    <xf numFmtId="0" fontId="7" fillId="0" borderId="45" xfId="3" applyFont="1" applyBorder="1" applyAlignment="1">
      <alignment horizontal="left"/>
    </xf>
    <xf numFmtId="4" fontId="7" fillId="0" borderId="45" xfId="3" applyNumberFormat="1" applyFont="1" applyBorder="1"/>
    <xf numFmtId="0" fontId="5" fillId="0" borderId="53" xfId="3" applyBorder="1"/>
    <xf numFmtId="0" fontId="0" fillId="0" borderId="10" xfId="0" applyBorder="1"/>
    <xf numFmtId="43" fontId="0" fillId="0" borderId="0" xfId="1" applyFont="1"/>
    <xf numFmtId="43" fontId="7" fillId="0" borderId="45" xfId="1" applyFont="1" applyBorder="1"/>
    <xf numFmtId="43" fontId="0" fillId="0" borderId="9" xfId="1" applyFont="1" applyBorder="1"/>
    <xf numFmtId="0" fontId="0" fillId="0" borderId="0" xfId="0" applyFont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5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10" fillId="0" borderId="5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1" fillId="0" borderId="5" xfId="3" applyFont="1" applyBorder="1" applyAlignment="1">
      <alignment horizontal="center"/>
    </xf>
    <xf numFmtId="0" fontId="11" fillId="0" borderId="6" xfId="3" applyFont="1" applyBorder="1" applyAlignment="1">
      <alignment horizontal="center"/>
    </xf>
    <xf numFmtId="0" fontId="11" fillId="0" borderId="7" xfId="3" applyFont="1" applyBorder="1" applyAlignment="1">
      <alignment horizontal="center"/>
    </xf>
    <xf numFmtId="0" fontId="10" fillId="0" borderId="56" xfId="3" applyFont="1" applyBorder="1" applyAlignment="1">
      <alignment horizontal="center"/>
    </xf>
    <xf numFmtId="0" fontId="10" fillId="0" borderId="57" xfId="3" applyFont="1" applyBorder="1" applyAlignment="1">
      <alignment horizontal="center"/>
    </xf>
    <xf numFmtId="0" fontId="10" fillId="0" borderId="58" xfId="3" applyFont="1" applyBorder="1" applyAlignment="1">
      <alignment horizontal="center"/>
    </xf>
    <xf numFmtId="0" fontId="12" fillId="0" borderId="33" xfId="3" applyFont="1" applyBorder="1" applyAlignment="1">
      <alignment horizontal="center"/>
    </xf>
    <xf numFmtId="0" fontId="12" fillId="0" borderId="34" xfId="3" applyFont="1" applyBorder="1" applyAlignment="1">
      <alignment horizontal="center"/>
    </xf>
    <xf numFmtId="0" fontId="12" fillId="0" borderId="35" xfId="3" applyFont="1" applyBorder="1" applyAlignment="1">
      <alignment horizontal="center"/>
    </xf>
    <xf numFmtId="0" fontId="12" fillId="0" borderId="5" xfId="3" applyFont="1" applyBorder="1" applyAlignment="1">
      <alignment horizontal="center"/>
    </xf>
    <xf numFmtId="166" fontId="12" fillId="0" borderId="6" xfId="3" applyNumberFormat="1" applyFont="1" applyBorder="1"/>
    <xf numFmtId="0" fontId="12" fillId="0" borderId="7" xfId="3" applyFont="1" applyBorder="1"/>
    <xf numFmtId="0" fontId="12" fillId="0" borderId="5" xfId="3" applyFont="1" applyBorder="1" applyAlignment="1">
      <alignment horizontal="center" vertical="center"/>
    </xf>
    <xf numFmtId="43" fontId="12" fillId="0" borderId="6" xfId="1" applyFont="1" applyBorder="1"/>
    <xf numFmtId="165" fontId="12" fillId="0" borderId="7" xfId="3" applyNumberFormat="1" applyFont="1" applyBorder="1"/>
    <xf numFmtId="0" fontId="12" fillId="0" borderId="59" xfId="3" applyFont="1" applyBorder="1" applyAlignment="1">
      <alignment horizontal="center"/>
    </xf>
    <xf numFmtId="166" fontId="12" fillId="0" borderId="61" xfId="3" applyNumberFormat="1" applyFont="1" applyBorder="1"/>
    <xf numFmtId="43" fontId="12" fillId="0" borderId="45" xfId="1" applyFont="1" applyBorder="1"/>
    <xf numFmtId="166" fontId="12" fillId="0" borderId="5" xfId="3" applyNumberFormat="1" applyFont="1" applyBorder="1"/>
    <xf numFmtId="165" fontId="12" fillId="0" borderId="10" xfId="1" applyNumberFormat="1" applyFont="1" applyBorder="1" applyAlignment="1">
      <alignment horizontal="right" vertical="center"/>
    </xf>
    <xf numFmtId="166" fontId="12" fillId="0" borderId="45" xfId="3" applyNumberFormat="1" applyFont="1" applyBorder="1"/>
    <xf numFmtId="166" fontId="12" fillId="0" borderId="8" xfId="3" applyNumberFormat="1" applyFont="1" applyBorder="1" applyAlignment="1">
      <alignment horizontal="right" vertical="center"/>
    </xf>
    <xf numFmtId="0" fontId="12" fillId="0" borderId="63" xfId="3" applyFont="1" applyBorder="1" applyAlignment="1">
      <alignment horizontal="center"/>
    </xf>
    <xf numFmtId="0" fontId="12" fillId="0" borderId="60" xfId="3" applyFont="1" applyBorder="1" applyAlignment="1">
      <alignment horizontal="center"/>
    </xf>
    <xf numFmtId="0" fontId="12" fillId="0" borderId="53" xfId="3" applyFont="1" applyBorder="1"/>
    <xf numFmtId="166" fontId="12" fillId="0" borderId="52" xfId="3" applyNumberFormat="1" applyFont="1" applyBorder="1"/>
    <xf numFmtId="165" fontId="12" fillId="0" borderId="53" xfId="1" applyNumberFormat="1" applyFont="1" applyBorder="1"/>
    <xf numFmtId="165" fontId="12" fillId="0" borderId="53" xfId="3" applyNumberFormat="1" applyFont="1" applyBorder="1"/>
    <xf numFmtId="0" fontId="12" fillId="0" borderId="38" xfId="3" applyFont="1" applyBorder="1" applyAlignment="1">
      <alignment horizontal="center"/>
    </xf>
    <xf numFmtId="0" fontId="12" fillId="0" borderId="40" xfId="3" applyFont="1" applyBorder="1" applyAlignment="1">
      <alignment horizontal="center"/>
    </xf>
    <xf numFmtId="0" fontId="12" fillId="0" borderId="38" xfId="3" applyFont="1" applyBorder="1" applyAlignment="1">
      <alignment horizontal="center"/>
    </xf>
    <xf numFmtId="0" fontId="12" fillId="0" borderId="40" xfId="3" applyFont="1" applyBorder="1" applyAlignment="1">
      <alignment horizontal="center"/>
    </xf>
    <xf numFmtId="166" fontId="12" fillId="0" borderId="8" xfId="3" applyNumberFormat="1" applyFont="1" applyBorder="1" applyAlignment="1">
      <alignment vertical="center"/>
    </xf>
    <xf numFmtId="165" fontId="12" fillId="0" borderId="10" xfId="3" applyNumberFormat="1" applyFont="1" applyBorder="1" applyAlignment="1">
      <alignment vertical="center"/>
    </xf>
    <xf numFmtId="0" fontId="12" fillId="0" borderId="63" xfId="3" applyFont="1" applyBorder="1" applyAlignment="1">
      <alignment wrapText="1"/>
    </xf>
    <xf numFmtId="0" fontId="12" fillId="0" borderId="64" xfId="3" applyFont="1" applyBorder="1" applyAlignment="1">
      <alignment wrapText="1"/>
    </xf>
    <xf numFmtId="0" fontId="12" fillId="0" borderId="62" xfId="3" applyFont="1" applyBorder="1" applyAlignment="1">
      <alignment wrapText="1"/>
    </xf>
    <xf numFmtId="165" fontId="12" fillId="0" borderId="10" xfId="1" applyNumberFormat="1" applyFont="1" applyBorder="1" applyAlignment="1">
      <alignment vertical="center"/>
    </xf>
    <xf numFmtId="0" fontId="12" fillId="0" borderId="33" xfId="3" applyFont="1" applyBorder="1" applyAlignment="1">
      <alignment horizontal="center" vertical="center"/>
    </xf>
    <xf numFmtId="0" fontId="12" fillId="0" borderId="36" xfId="3" applyFont="1" applyBorder="1" applyAlignment="1">
      <alignment horizontal="center" vertical="center"/>
    </xf>
    <xf numFmtId="0" fontId="12" fillId="0" borderId="15" xfId="3" applyFont="1" applyBorder="1" applyAlignment="1">
      <alignment horizontal="center" vertical="center"/>
    </xf>
    <xf numFmtId="0" fontId="12" fillId="0" borderId="65" xfId="3" applyFont="1" applyBorder="1" applyAlignment="1">
      <alignment horizontal="left" wrapText="1"/>
    </xf>
    <xf numFmtId="0" fontId="12" fillId="0" borderId="51" xfId="3" applyFont="1" applyBorder="1" applyAlignment="1">
      <alignment horizontal="left" wrapText="1"/>
    </xf>
    <xf numFmtId="0" fontId="12" fillId="0" borderId="55" xfId="3" applyFont="1" applyBorder="1" applyAlignment="1">
      <alignment horizontal="center"/>
    </xf>
    <xf numFmtId="166" fontId="12" fillId="0" borderId="68" xfId="3" applyNumberFormat="1" applyFont="1" applyBorder="1"/>
    <xf numFmtId="9" fontId="0" fillId="0" borderId="72" xfId="2" applyFont="1" applyBorder="1" applyAlignment="1">
      <alignment horizontal="right" vertical="center"/>
    </xf>
    <xf numFmtId="0" fontId="0" fillId="0" borderId="68" xfId="0" applyFont="1" applyBorder="1"/>
    <xf numFmtId="0" fontId="0" fillId="0" borderId="61" xfId="0" applyFont="1" applyBorder="1"/>
    <xf numFmtId="43" fontId="12" fillId="0" borderId="70" xfId="1" applyFont="1" applyBorder="1" applyAlignment="1">
      <alignment horizontal="center" vertical="center"/>
    </xf>
    <xf numFmtId="43" fontId="12" fillId="0" borderId="73" xfId="1" applyFont="1" applyBorder="1" applyAlignment="1">
      <alignment horizontal="center" vertical="center"/>
    </xf>
    <xf numFmtId="43" fontId="12" fillId="0" borderId="74" xfId="1" applyFont="1" applyBorder="1" applyAlignment="1">
      <alignment horizontal="center"/>
    </xf>
    <xf numFmtId="43" fontId="12" fillId="0" borderId="73" xfId="1" applyFont="1" applyBorder="1" applyAlignment="1">
      <alignment horizontal="left" wrapText="1"/>
    </xf>
    <xf numFmtId="43" fontId="12" fillId="0" borderId="75" xfId="1" applyFont="1" applyBorder="1" applyAlignment="1">
      <alignment horizontal="left" wrapText="1"/>
    </xf>
    <xf numFmtId="43" fontId="12" fillId="0" borderId="75" xfId="1" applyFont="1" applyBorder="1" applyAlignment="1">
      <alignment horizontal="right" vertical="center" wrapText="1"/>
    </xf>
    <xf numFmtId="43" fontId="13" fillId="6" borderId="74" xfId="1" applyFont="1" applyFill="1" applyBorder="1"/>
    <xf numFmtId="0" fontId="12" fillId="0" borderId="71" xfId="3" applyFont="1" applyBorder="1" applyAlignment="1">
      <alignment horizontal="center"/>
    </xf>
    <xf numFmtId="0" fontId="12" fillId="0" borderId="69" xfId="3" applyFont="1" applyBorder="1" applyAlignment="1">
      <alignment horizontal="center"/>
    </xf>
    <xf numFmtId="0" fontId="12" fillId="0" borderId="76" xfId="3" applyFont="1" applyBorder="1" applyAlignment="1">
      <alignment horizontal="center"/>
    </xf>
    <xf numFmtId="4" fontId="12" fillId="0" borderId="45" xfId="3" applyNumberFormat="1" applyFont="1" applyBorder="1"/>
    <xf numFmtId="165" fontId="12" fillId="0" borderId="45" xfId="1" applyNumberFormat="1" applyFont="1" applyBorder="1"/>
    <xf numFmtId="4" fontId="12" fillId="0" borderId="53" xfId="3" applyNumberFormat="1" applyFont="1" applyBorder="1"/>
    <xf numFmtId="0" fontId="12" fillId="6" borderId="8" xfId="3" applyFont="1" applyFill="1" applyBorder="1" applyAlignment="1">
      <alignment horizontal="right"/>
    </xf>
    <xf numFmtId="0" fontId="12" fillId="6" borderId="50" xfId="3" applyFont="1" applyFill="1" applyBorder="1" applyAlignment="1">
      <alignment horizontal="right"/>
    </xf>
    <xf numFmtId="43" fontId="13" fillId="6" borderId="72" xfId="1" applyFont="1" applyFill="1" applyBorder="1"/>
    <xf numFmtId="4" fontId="13" fillId="6" borderId="9" xfId="3" applyNumberFormat="1" applyFont="1" applyFill="1" applyBorder="1"/>
    <xf numFmtId="4" fontId="13" fillId="6" borderId="10" xfId="3" applyNumberFormat="1" applyFont="1" applyFill="1" applyBorder="1"/>
    <xf numFmtId="43" fontId="6" fillId="0" borderId="72" xfId="1" applyFont="1" applyBorder="1"/>
    <xf numFmtId="0" fontId="12" fillId="0" borderId="67" xfId="3" applyFont="1" applyBorder="1" applyAlignment="1">
      <alignment horizontal="right"/>
    </xf>
    <xf numFmtId="0" fontId="12" fillId="0" borderId="46" xfId="3" applyFont="1" applyBorder="1" applyAlignment="1">
      <alignment horizontal="right"/>
    </xf>
    <xf numFmtId="0" fontId="6" fillId="0" borderId="11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10" fillId="0" borderId="1" xfId="3" applyFont="1" applyBorder="1" applyAlignment="1">
      <alignment horizontal="left" vertical="center"/>
    </xf>
    <xf numFmtId="4" fontId="10" fillId="0" borderId="1" xfId="3" applyNumberFormat="1" applyFont="1" applyBorder="1" applyAlignment="1">
      <alignment horizontal="left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9" fontId="10" fillId="0" borderId="1" xfId="4" applyNumberFormat="1" applyFont="1" applyBorder="1" applyAlignment="1">
      <alignment horizontal="left"/>
    </xf>
    <xf numFmtId="43" fontId="10" fillId="0" borderId="1" xfId="4" applyFont="1" applyBorder="1" applyAlignment="1">
      <alignment horizontal="left"/>
    </xf>
    <xf numFmtId="0" fontId="10" fillId="0" borderId="1" xfId="3" applyFont="1" applyBorder="1" applyAlignment="1">
      <alignment horizontal="center" vertical="center"/>
    </xf>
    <xf numFmtId="165" fontId="10" fillId="0" borderId="1" xfId="3" applyNumberFormat="1" applyFont="1" applyBorder="1" applyAlignment="1">
      <alignment horizontal="left"/>
    </xf>
    <xf numFmtId="0" fontId="10" fillId="0" borderId="1" xfId="3" applyFont="1" applyBorder="1" applyAlignment="1"/>
    <xf numFmtId="0" fontId="14" fillId="0" borderId="66" xfId="3" applyFont="1" applyBorder="1" applyAlignment="1">
      <alignment horizontal="center"/>
    </xf>
    <xf numFmtId="0" fontId="14" fillId="0" borderId="49" xfId="3" applyFont="1" applyBorder="1" applyAlignment="1">
      <alignment horizontal="center"/>
    </xf>
    <xf numFmtId="0" fontId="14" fillId="0" borderId="77" xfId="3" applyFont="1" applyBorder="1" applyAlignment="1"/>
  </cellXfs>
  <cellStyles count="5">
    <cellStyle name="Normal" xfId="0" builtinId="0"/>
    <cellStyle name="Normal 3" xfId="3"/>
    <cellStyle name="Porcentagem" xfId="2" builtinId="5"/>
    <cellStyle name="Separador de milhares" xfId="1" builtinId="3"/>
    <cellStyle name="Separador de milhares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281"/>
  <sheetViews>
    <sheetView workbookViewId="0">
      <selection activeCell="D281" sqref="D281"/>
    </sheetView>
  </sheetViews>
  <sheetFormatPr defaultRowHeight="15"/>
  <cols>
    <col min="1" max="1" width="4.140625" customWidth="1"/>
    <col min="2" max="2" width="13.28515625" customWidth="1"/>
    <col min="3" max="3" width="57" customWidth="1"/>
    <col min="4" max="4" width="8.42578125" customWidth="1"/>
    <col min="5" max="5" width="9.140625" customWidth="1"/>
    <col min="6" max="6" width="9.140625" style="60"/>
    <col min="7" max="7" width="12.28515625" style="60" customWidth="1"/>
    <col min="8" max="8" width="11.7109375" style="60" customWidth="1"/>
    <col min="9" max="9" width="10.5703125" style="60" bestFit="1" customWidth="1"/>
    <col min="10" max="10" width="13.140625" customWidth="1"/>
    <col min="11" max="11" width="11.7109375" hidden="1" customWidth="1"/>
    <col min="12" max="12" width="5.5703125" customWidth="1"/>
    <col min="13" max="13" width="11.5703125" bestFit="1" customWidth="1"/>
    <col min="14" max="14" width="13" customWidth="1"/>
    <col min="15" max="15" width="6.5703125" customWidth="1"/>
    <col min="17" max="17" width="6.85546875" customWidth="1"/>
    <col min="18" max="18" width="14.85546875" customWidth="1"/>
    <col min="19" max="19" width="10.42578125" customWidth="1"/>
    <col min="20" max="20" width="10.5703125" customWidth="1"/>
    <col min="21" max="22" width="10.5703125" bestFit="1" customWidth="1"/>
  </cols>
  <sheetData>
    <row r="2" spans="1:10">
      <c r="A2" s="77"/>
      <c r="B2" s="78"/>
      <c r="C2" s="78"/>
      <c r="D2" s="78"/>
      <c r="E2" s="78"/>
      <c r="F2" s="79"/>
      <c r="G2" s="79"/>
      <c r="H2" s="207" t="s">
        <v>113</v>
      </c>
      <c r="I2" s="208">
        <v>0.3</v>
      </c>
      <c r="J2" s="80"/>
    </row>
    <row r="3" spans="1:10">
      <c r="A3" s="81"/>
      <c r="B3" s="216" t="s">
        <v>112</v>
      </c>
      <c r="C3" s="217"/>
      <c r="D3" s="217"/>
      <c r="E3" s="217"/>
      <c r="F3" s="217"/>
      <c r="G3" s="217"/>
      <c r="H3" s="217"/>
      <c r="I3" s="218"/>
      <c r="J3" s="82"/>
    </row>
    <row r="4" spans="1:10">
      <c r="A4" s="81"/>
      <c r="B4" s="83"/>
      <c r="C4" s="84"/>
      <c r="D4" s="84"/>
      <c r="E4" s="84"/>
      <c r="F4" s="85"/>
      <c r="G4" s="85"/>
      <c r="H4" s="85"/>
      <c r="I4" s="86"/>
      <c r="J4" s="82"/>
    </row>
    <row r="5" spans="1:10">
      <c r="A5" s="81">
        <v>1</v>
      </c>
      <c r="B5" s="87" t="s">
        <v>70</v>
      </c>
      <c r="C5" s="88" t="s">
        <v>87</v>
      </c>
      <c r="D5" s="88"/>
      <c r="E5" s="89" t="s">
        <v>77</v>
      </c>
      <c r="F5" s="89" t="s">
        <v>78</v>
      </c>
      <c r="G5" s="89" t="s">
        <v>79</v>
      </c>
      <c r="H5" s="89" t="s">
        <v>65</v>
      </c>
      <c r="I5" s="90" t="s">
        <v>137</v>
      </c>
      <c r="J5" s="82"/>
    </row>
    <row r="6" spans="1:10">
      <c r="A6" s="81"/>
      <c r="B6" s="91">
        <v>72224</v>
      </c>
      <c r="C6" s="92" t="s">
        <v>122</v>
      </c>
      <c r="D6" s="92"/>
      <c r="E6" s="93" t="s">
        <v>7</v>
      </c>
      <c r="F6" s="93">
        <v>1</v>
      </c>
      <c r="G6" s="198">
        <v>1</v>
      </c>
      <c r="H6" s="198">
        <v>2</v>
      </c>
      <c r="I6" s="199">
        <f>G6+H6</f>
        <v>3</v>
      </c>
      <c r="J6" s="82"/>
    </row>
    <row r="7" spans="1:10">
      <c r="A7" s="81"/>
      <c r="B7" s="94"/>
      <c r="C7" s="91"/>
      <c r="D7" s="95"/>
      <c r="E7" s="93"/>
      <c r="F7" s="93"/>
      <c r="G7" s="198"/>
      <c r="H7" s="198"/>
      <c r="I7" s="199"/>
      <c r="J7" s="82"/>
    </row>
    <row r="8" spans="1:10">
      <c r="A8" s="81">
        <v>2</v>
      </c>
      <c r="B8" s="87" t="s">
        <v>71</v>
      </c>
      <c r="C8" s="88" t="s">
        <v>88</v>
      </c>
      <c r="D8" s="88"/>
      <c r="E8" s="89" t="s">
        <v>77</v>
      </c>
      <c r="F8" s="89" t="s">
        <v>78</v>
      </c>
      <c r="G8" s="200" t="s">
        <v>79</v>
      </c>
      <c r="H8" s="200" t="s">
        <v>65</v>
      </c>
      <c r="I8" s="201" t="s">
        <v>57</v>
      </c>
      <c r="J8" s="82"/>
    </row>
    <row r="9" spans="1:10">
      <c r="A9" s="81"/>
      <c r="B9" s="91">
        <v>85383</v>
      </c>
      <c r="C9" s="92" t="s">
        <v>92</v>
      </c>
      <c r="D9" s="92"/>
      <c r="E9" s="93" t="s">
        <v>6</v>
      </c>
      <c r="F9" s="93">
        <v>1</v>
      </c>
      <c r="G9" s="198">
        <v>1</v>
      </c>
      <c r="H9" s="198">
        <v>2.2000000000000002</v>
      </c>
      <c r="I9" s="199">
        <f>G9+H9</f>
        <v>3.2</v>
      </c>
      <c r="J9" s="82"/>
    </row>
    <row r="10" spans="1:10">
      <c r="A10" s="81"/>
      <c r="B10" s="96"/>
      <c r="C10" s="95"/>
      <c r="D10" s="95"/>
      <c r="E10" s="96"/>
      <c r="F10" s="94"/>
      <c r="G10" s="202"/>
      <c r="H10" s="202"/>
      <c r="I10" s="202"/>
      <c r="J10" s="82"/>
    </row>
    <row r="11" spans="1:10">
      <c r="A11" s="81">
        <v>3</v>
      </c>
      <c r="B11" s="87" t="s">
        <v>72</v>
      </c>
      <c r="C11" s="88" t="s">
        <v>89</v>
      </c>
      <c r="D11" s="88"/>
      <c r="E11" s="89" t="s">
        <v>77</v>
      </c>
      <c r="F11" s="89" t="s">
        <v>78</v>
      </c>
      <c r="G11" s="200" t="s">
        <v>79</v>
      </c>
      <c r="H11" s="200" t="s">
        <v>65</v>
      </c>
      <c r="I11" s="201" t="s">
        <v>57</v>
      </c>
      <c r="J11" s="82"/>
    </row>
    <row r="12" spans="1:10" ht="30">
      <c r="A12" s="81"/>
      <c r="B12" s="91">
        <v>72226</v>
      </c>
      <c r="C12" s="92" t="s">
        <v>93</v>
      </c>
      <c r="D12" s="92"/>
      <c r="E12" s="93" t="s">
        <v>7</v>
      </c>
      <c r="F12" s="93">
        <v>1</v>
      </c>
      <c r="G12" s="198">
        <v>2</v>
      </c>
      <c r="H12" s="198">
        <v>7.7</v>
      </c>
      <c r="I12" s="199">
        <f>G12+H12</f>
        <v>9.6999999999999993</v>
      </c>
      <c r="J12" s="82"/>
    </row>
    <row r="13" spans="1:10">
      <c r="A13" s="81"/>
      <c r="B13" s="96"/>
      <c r="C13" s="96"/>
      <c r="D13" s="96"/>
      <c r="E13" s="96"/>
      <c r="F13" s="94"/>
      <c r="G13" s="202"/>
      <c r="H13" s="202"/>
      <c r="I13" s="202"/>
      <c r="J13" s="82"/>
    </row>
    <row r="14" spans="1:10">
      <c r="A14" s="81">
        <v>4</v>
      </c>
      <c r="B14" s="87" t="s">
        <v>73</v>
      </c>
      <c r="C14" s="88" t="s">
        <v>90</v>
      </c>
      <c r="D14" s="88"/>
      <c r="E14" s="89" t="s">
        <v>77</v>
      </c>
      <c r="F14" s="89" t="s">
        <v>78</v>
      </c>
      <c r="G14" s="200" t="s">
        <v>79</v>
      </c>
      <c r="H14" s="200" t="s">
        <v>65</v>
      </c>
      <c r="I14" s="201" t="s">
        <v>57</v>
      </c>
      <c r="J14" s="82"/>
    </row>
    <row r="15" spans="1:10" ht="60">
      <c r="A15" s="81"/>
      <c r="B15" s="91">
        <v>87794</v>
      </c>
      <c r="C15" s="92" t="s">
        <v>91</v>
      </c>
      <c r="D15" s="92"/>
      <c r="E15" s="93" t="s">
        <v>7</v>
      </c>
      <c r="F15" s="93">
        <v>1</v>
      </c>
      <c r="G15" s="198">
        <v>13.5</v>
      </c>
      <c r="H15" s="198">
        <v>14</v>
      </c>
      <c r="I15" s="199">
        <f>SUM(G15:H15)</f>
        <v>27.5</v>
      </c>
      <c r="J15" s="82"/>
    </row>
    <row r="16" spans="1:10">
      <c r="A16" s="81"/>
      <c r="B16" s="97"/>
      <c r="C16" s="98"/>
      <c r="D16" s="98"/>
      <c r="E16" s="94"/>
      <c r="F16" s="94"/>
      <c r="G16" s="202"/>
      <c r="H16" s="202"/>
      <c r="I16" s="203"/>
      <c r="J16" s="82"/>
    </row>
    <row r="17" spans="1:10">
      <c r="A17" s="81">
        <v>5</v>
      </c>
      <c r="B17" s="87" t="s">
        <v>74</v>
      </c>
      <c r="C17" s="88" t="s">
        <v>68</v>
      </c>
      <c r="D17" s="88"/>
      <c r="E17" s="89" t="s">
        <v>77</v>
      </c>
      <c r="F17" s="89" t="s">
        <v>78</v>
      </c>
      <c r="G17" s="200" t="s">
        <v>79</v>
      </c>
      <c r="H17" s="200" t="s">
        <v>65</v>
      </c>
      <c r="I17" s="201" t="s">
        <v>57</v>
      </c>
      <c r="J17" s="99"/>
    </row>
    <row r="18" spans="1:10" ht="63" customHeight="1">
      <c r="A18" s="81"/>
      <c r="B18" s="91">
        <v>92566</v>
      </c>
      <c r="C18" s="92" t="s">
        <v>76</v>
      </c>
      <c r="D18" s="92"/>
      <c r="E18" s="93" t="s">
        <v>7</v>
      </c>
      <c r="F18" s="93">
        <v>1</v>
      </c>
      <c r="G18" s="198">
        <v>7.5</v>
      </c>
      <c r="H18" s="198">
        <v>2.5</v>
      </c>
      <c r="I18" s="199">
        <f>(H18+G18)*F18</f>
        <v>10</v>
      </c>
      <c r="J18" s="100"/>
    </row>
    <row r="19" spans="1:10">
      <c r="A19" s="81"/>
      <c r="B19" s="97"/>
      <c r="C19" s="101"/>
      <c r="D19" s="101"/>
      <c r="E19" s="94"/>
      <c r="F19" s="94"/>
      <c r="G19" s="202"/>
      <c r="H19" s="202"/>
      <c r="I19" s="202"/>
      <c r="J19" s="82"/>
    </row>
    <row r="20" spans="1:10">
      <c r="A20" s="81">
        <v>6</v>
      </c>
      <c r="B20" s="87" t="s">
        <v>75</v>
      </c>
      <c r="C20" s="88" t="s">
        <v>69</v>
      </c>
      <c r="D20" s="88"/>
      <c r="E20" s="89" t="s">
        <v>77</v>
      </c>
      <c r="F20" s="89" t="s">
        <v>78</v>
      </c>
      <c r="G20" s="200" t="s">
        <v>79</v>
      </c>
      <c r="H20" s="200" t="s">
        <v>65</v>
      </c>
      <c r="I20" s="201" t="s">
        <v>57</v>
      </c>
      <c r="J20" s="82"/>
    </row>
    <row r="21" spans="1:10" ht="60">
      <c r="A21" s="81"/>
      <c r="B21" s="91"/>
      <c r="C21" s="92" t="s">
        <v>81</v>
      </c>
      <c r="D21" s="92"/>
      <c r="E21" s="93" t="s">
        <v>7</v>
      </c>
      <c r="F21" s="93">
        <v>1</v>
      </c>
      <c r="G21" s="198">
        <v>29</v>
      </c>
      <c r="H21" s="198">
        <v>20</v>
      </c>
      <c r="I21" s="199">
        <f>G21+H21</f>
        <v>49</v>
      </c>
      <c r="J21" s="82"/>
    </row>
    <row r="22" spans="1:10">
      <c r="A22" s="81"/>
      <c r="B22" s="97"/>
      <c r="C22" s="101"/>
      <c r="D22" s="101"/>
      <c r="E22" s="101"/>
      <c r="F22" s="102"/>
      <c r="G22" s="204"/>
      <c r="H22" s="204"/>
      <c r="I22" s="204"/>
      <c r="J22" s="82"/>
    </row>
    <row r="23" spans="1:10">
      <c r="A23" s="81">
        <v>7</v>
      </c>
      <c r="B23" s="87" t="s">
        <v>94</v>
      </c>
      <c r="C23" s="88" t="s">
        <v>67</v>
      </c>
      <c r="D23" s="88"/>
      <c r="E23" s="89" t="s">
        <v>77</v>
      </c>
      <c r="F23" s="89" t="s">
        <v>78</v>
      </c>
      <c r="G23" s="200" t="s">
        <v>79</v>
      </c>
      <c r="H23" s="200" t="s">
        <v>65</v>
      </c>
      <c r="I23" s="201" t="s">
        <v>57</v>
      </c>
      <c r="J23" s="82"/>
    </row>
    <row r="24" spans="1:10" ht="60">
      <c r="A24" s="81"/>
      <c r="B24" s="91">
        <v>94210</v>
      </c>
      <c r="C24" s="92" t="s">
        <v>82</v>
      </c>
      <c r="D24" s="92"/>
      <c r="E24" s="93" t="s">
        <v>7</v>
      </c>
      <c r="F24" s="93">
        <v>1</v>
      </c>
      <c r="G24" s="198">
        <v>27.5</v>
      </c>
      <c r="H24" s="198">
        <v>3.5</v>
      </c>
      <c r="I24" s="199">
        <f>H24+G24</f>
        <v>31</v>
      </c>
      <c r="J24" s="82"/>
    </row>
    <row r="25" spans="1:10">
      <c r="A25" s="81"/>
      <c r="B25" s="103"/>
      <c r="C25" s="101"/>
      <c r="D25" s="101"/>
      <c r="E25" s="101"/>
      <c r="F25" s="102"/>
      <c r="G25" s="204"/>
      <c r="H25" s="204"/>
      <c r="I25" s="204"/>
      <c r="J25" s="82"/>
    </row>
    <row r="26" spans="1:10">
      <c r="A26" s="81">
        <v>8</v>
      </c>
      <c r="B26" s="87" t="s">
        <v>95</v>
      </c>
      <c r="C26" s="88" t="s">
        <v>2</v>
      </c>
      <c r="D26" s="88"/>
      <c r="E26" s="89" t="s">
        <v>77</v>
      </c>
      <c r="F26" s="89" t="s">
        <v>78</v>
      </c>
      <c r="G26" s="200" t="s">
        <v>79</v>
      </c>
      <c r="H26" s="200" t="s">
        <v>65</v>
      </c>
      <c r="I26" s="201" t="s">
        <v>57</v>
      </c>
      <c r="J26" s="82"/>
    </row>
    <row r="27" spans="1:10" ht="30">
      <c r="A27" s="81"/>
      <c r="B27" s="91">
        <v>94223</v>
      </c>
      <c r="C27" s="92" t="s">
        <v>83</v>
      </c>
      <c r="D27" s="92"/>
      <c r="E27" s="93" t="s">
        <v>6</v>
      </c>
      <c r="F27" s="93">
        <v>1</v>
      </c>
      <c r="G27" s="198">
        <v>60</v>
      </c>
      <c r="H27" s="198">
        <v>2.2999999999999998</v>
      </c>
      <c r="I27" s="199">
        <f>H27+G27</f>
        <v>62.3</v>
      </c>
      <c r="J27" s="82"/>
    </row>
    <row r="28" spans="1:10">
      <c r="A28" s="81"/>
      <c r="B28" s="103"/>
      <c r="C28" s="101"/>
      <c r="D28" s="101"/>
      <c r="E28" s="101"/>
      <c r="F28" s="102"/>
      <c r="G28" s="204"/>
      <c r="H28" s="204"/>
      <c r="I28" s="204"/>
      <c r="J28" s="82"/>
    </row>
    <row r="29" spans="1:10">
      <c r="A29" s="81">
        <v>9</v>
      </c>
      <c r="B29" s="104" t="s">
        <v>96</v>
      </c>
      <c r="C29" s="105" t="s">
        <v>8</v>
      </c>
      <c r="D29" s="105"/>
      <c r="E29" s="106" t="s">
        <v>77</v>
      </c>
      <c r="F29" s="106" t="s">
        <v>78</v>
      </c>
      <c r="G29" s="205" t="s">
        <v>79</v>
      </c>
      <c r="H29" s="205" t="s">
        <v>65</v>
      </c>
      <c r="I29" s="206" t="s">
        <v>57</v>
      </c>
      <c r="J29" s="82"/>
    </row>
    <row r="30" spans="1:10" ht="30">
      <c r="A30" s="81"/>
      <c r="B30" s="107">
        <v>94231</v>
      </c>
      <c r="C30" s="108" t="s">
        <v>84</v>
      </c>
      <c r="D30" s="108"/>
      <c r="E30" s="109" t="s">
        <v>6</v>
      </c>
      <c r="F30" s="110">
        <v>1</v>
      </c>
      <c r="G30" s="111">
        <v>40.5</v>
      </c>
      <c r="H30" s="111">
        <v>8</v>
      </c>
      <c r="I30" s="112">
        <f>H30+G30</f>
        <v>48.5</v>
      </c>
      <c r="J30" s="82"/>
    </row>
    <row r="31" spans="1:10">
      <c r="A31" s="81"/>
      <c r="B31" s="103"/>
      <c r="C31" s="101"/>
      <c r="D31" s="101"/>
      <c r="E31" s="101"/>
      <c r="F31" s="102"/>
      <c r="G31" s="204"/>
      <c r="H31" s="204"/>
      <c r="I31" s="204"/>
      <c r="J31" s="82"/>
    </row>
    <row r="32" spans="1:10">
      <c r="A32" s="81">
        <v>10</v>
      </c>
      <c r="B32" s="104" t="s">
        <v>111</v>
      </c>
      <c r="C32" s="105" t="s">
        <v>9</v>
      </c>
      <c r="D32" s="105"/>
      <c r="E32" s="106" t="s">
        <v>77</v>
      </c>
      <c r="F32" s="106" t="s">
        <v>78</v>
      </c>
      <c r="G32" s="205" t="s">
        <v>79</v>
      </c>
      <c r="H32" s="205" t="s">
        <v>65</v>
      </c>
      <c r="I32" s="206" t="s">
        <v>57</v>
      </c>
      <c r="J32" s="82"/>
    </row>
    <row r="33" spans="1:22" ht="45">
      <c r="A33" s="113"/>
      <c r="B33" s="107">
        <v>94229</v>
      </c>
      <c r="C33" s="108" t="s">
        <v>85</v>
      </c>
      <c r="D33" s="108"/>
      <c r="E33" s="109" t="s">
        <v>6</v>
      </c>
      <c r="F33" s="110">
        <v>1</v>
      </c>
      <c r="G33" s="111">
        <v>75</v>
      </c>
      <c r="H33" s="111">
        <v>15</v>
      </c>
      <c r="I33" s="112">
        <f>H33+G33</f>
        <v>90</v>
      </c>
      <c r="J33" s="114"/>
    </row>
    <row r="34" spans="1:22">
      <c r="A34" s="61"/>
      <c r="B34" s="13"/>
      <c r="C34" s="13"/>
      <c r="D34" s="13"/>
      <c r="E34" s="13"/>
      <c r="F34" s="65"/>
      <c r="G34" s="65"/>
      <c r="H34" s="65"/>
      <c r="I34" s="65"/>
      <c r="J34" s="62"/>
    </row>
    <row r="35" spans="1:22">
      <c r="A35" s="63"/>
      <c r="B35" s="219" t="s">
        <v>86</v>
      </c>
      <c r="C35" s="220"/>
      <c r="D35" s="220"/>
      <c r="E35" s="220"/>
      <c r="F35" s="220"/>
      <c r="G35" s="220"/>
      <c r="H35" s="220"/>
      <c r="I35" s="221"/>
      <c r="J35" s="64"/>
    </row>
    <row r="36" spans="1:22">
      <c r="A36" s="74"/>
      <c r="B36" s="35"/>
      <c r="C36" s="74"/>
      <c r="D36" s="74"/>
      <c r="E36" s="74"/>
      <c r="F36" s="57"/>
      <c r="G36" s="57"/>
      <c r="H36" s="57"/>
      <c r="I36" s="57"/>
      <c r="J36" s="74"/>
    </row>
    <row r="37" spans="1:22">
      <c r="A37" s="115"/>
      <c r="B37" s="225" t="s">
        <v>102</v>
      </c>
      <c r="C37" s="226"/>
      <c r="D37" s="226"/>
      <c r="E37" s="226"/>
      <c r="F37" s="226"/>
      <c r="G37" s="226"/>
      <c r="H37" s="226"/>
      <c r="I37" s="226"/>
      <c r="J37" s="227"/>
    </row>
    <row r="38" spans="1:22">
      <c r="A38" s="222" t="s">
        <v>53</v>
      </c>
      <c r="B38" s="223"/>
      <c r="C38" s="223"/>
      <c r="D38" s="223"/>
      <c r="E38" s="223"/>
      <c r="F38" s="223"/>
      <c r="G38" s="223"/>
      <c r="H38" s="223"/>
      <c r="I38" s="223"/>
      <c r="J38" s="224"/>
    </row>
    <row r="39" spans="1:22">
      <c r="A39" s="116"/>
      <c r="B39" s="117" t="s">
        <v>0</v>
      </c>
      <c r="C39" s="116"/>
      <c r="D39" s="118" t="s">
        <v>99</v>
      </c>
      <c r="E39" s="118" t="s">
        <v>100</v>
      </c>
      <c r="F39" s="118" t="s">
        <v>1</v>
      </c>
      <c r="G39" s="118" t="s">
        <v>2</v>
      </c>
      <c r="H39" s="118" t="s">
        <v>3</v>
      </c>
      <c r="I39" s="118" t="s">
        <v>8</v>
      </c>
      <c r="J39" s="119" t="s">
        <v>9</v>
      </c>
      <c r="N39" s="71"/>
      <c r="O39" s="59"/>
      <c r="P39" s="59"/>
      <c r="Q39" s="59"/>
      <c r="R39" s="59"/>
      <c r="S39" s="59"/>
      <c r="T39" s="59"/>
      <c r="U39" s="59"/>
      <c r="V39" s="44"/>
    </row>
    <row r="40" spans="1:22">
      <c r="A40" s="120"/>
      <c r="B40" s="121" t="s">
        <v>101</v>
      </c>
      <c r="C40" s="120" t="s">
        <v>98</v>
      </c>
      <c r="D40" s="123" t="s">
        <v>6</v>
      </c>
      <c r="E40" s="123" t="s">
        <v>6</v>
      </c>
      <c r="F40" s="122" t="s">
        <v>7</v>
      </c>
      <c r="G40" s="122" t="s">
        <v>6</v>
      </c>
      <c r="H40" s="122" t="s">
        <v>6</v>
      </c>
      <c r="I40" s="122" t="s">
        <v>6</v>
      </c>
      <c r="J40" s="124" t="s">
        <v>6</v>
      </c>
      <c r="N40" s="67"/>
      <c r="O40" s="42"/>
      <c r="P40" s="11"/>
      <c r="Q40" s="11"/>
      <c r="R40" s="42"/>
      <c r="S40" s="42"/>
      <c r="T40" s="42"/>
      <c r="U40" s="42"/>
      <c r="V40" s="42"/>
    </row>
    <row r="41" spans="1:22">
      <c r="A41" s="125"/>
      <c r="B41" s="126">
        <v>1</v>
      </c>
      <c r="C41" s="127" t="s">
        <v>123</v>
      </c>
      <c r="D41" s="127">
        <v>15.6</v>
      </c>
      <c r="E41" s="127">
        <v>9.4</v>
      </c>
      <c r="F41" s="127">
        <f>E41*D41</f>
        <v>146.64000000000001</v>
      </c>
      <c r="G41" s="127"/>
      <c r="H41" s="127">
        <v>15.6</v>
      </c>
      <c r="I41" s="127">
        <f>15.6+9.4+9.4</f>
        <v>34.4</v>
      </c>
      <c r="J41" s="128"/>
      <c r="N41" s="70"/>
      <c r="O41" s="69"/>
      <c r="P41" s="69"/>
      <c r="Q41" s="69"/>
      <c r="R41" s="69"/>
      <c r="S41" s="69"/>
      <c r="T41" s="69"/>
      <c r="U41" s="69"/>
      <c r="V41" s="69"/>
    </row>
    <row r="42" spans="1:22">
      <c r="A42" s="129"/>
      <c r="B42" s="130">
        <v>2</v>
      </c>
      <c r="C42" s="131" t="s">
        <v>124</v>
      </c>
      <c r="D42" s="131">
        <v>15.5</v>
      </c>
      <c r="E42" s="131">
        <v>7.7</v>
      </c>
      <c r="F42" s="131">
        <f t="shared" ref="F42:F57" si="0">E42*D42</f>
        <v>119.35000000000001</v>
      </c>
      <c r="G42" s="132"/>
      <c r="H42" s="132">
        <v>15.5</v>
      </c>
      <c r="I42" s="132">
        <f>7.7*2+15.5</f>
        <v>30.9</v>
      </c>
      <c r="J42" s="133"/>
      <c r="N42" s="38"/>
      <c r="O42" s="39"/>
      <c r="P42" s="39"/>
      <c r="Q42" s="39"/>
      <c r="R42" s="39"/>
      <c r="S42" s="68"/>
      <c r="T42" s="68"/>
      <c r="U42" s="68"/>
      <c r="V42" s="39"/>
    </row>
    <row r="43" spans="1:22">
      <c r="A43" s="129"/>
      <c r="B43" s="130">
        <v>3</v>
      </c>
      <c r="C43" s="131" t="s">
        <v>125</v>
      </c>
      <c r="D43" s="131">
        <v>33.4</v>
      </c>
      <c r="E43" s="131">
        <v>7.5</v>
      </c>
      <c r="F43" s="131">
        <f t="shared" si="0"/>
        <v>250.5</v>
      </c>
      <c r="G43" s="132"/>
      <c r="H43" s="132">
        <v>33.4</v>
      </c>
      <c r="I43" s="132">
        <f>15+33.5</f>
        <v>48.5</v>
      </c>
      <c r="J43" s="133">
        <v>33.4</v>
      </c>
      <c r="N43" s="38"/>
      <c r="O43" s="39"/>
      <c r="P43" s="39"/>
      <c r="Q43" s="39"/>
      <c r="R43" s="39"/>
      <c r="S43" s="68"/>
      <c r="T43" s="68"/>
      <c r="U43" s="68"/>
      <c r="V43" s="39"/>
    </row>
    <row r="44" spans="1:22">
      <c r="A44" s="129"/>
      <c r="B44" s="130">
        <v>4</v>
      </c>
      <c r="C44" s="131" t="s">
        <v>133</v>
      </c>
      <c r="D44" s="131">
        <v>16.5</v>
      </c>
      <c r="E44" s="131">
        <v>5.5</v>
      </c>
      <c r="F44" s="131">
        <f t="shared" si="0"/>
        <v>90.75</v>
      </c>
      <c r="G44" s="132"/>
      <c r="H44" s="132"/>
      <c r="I44" s="132">
        <f>11+16.5</f>
        <v>27.5</v>
      </c>
      <c r="J44" s="133">
        <v>17</v>
      </c>
      <c r="N44" s="38"/>
      <c r="O44" s="39"/>
      <c r="P44" s="39"/>
      <c r="Q44" s="39"/>
      <c r="R44" s="39"/>
      <c r="S44" s="68"/>
      <c r="T44" s="68"/>
      <c r="U44" s="68"/>
      <c r="V44" s="39"/>
    </row>
    <row r="45" spans="1:22">
      <c r="A45" s="129"/>
      <c r="B45" s="130">
        <v>5</v>
      </c>
      <c r="C45" s="131" t="s">
        <v>126</v>
      </c>
      <c r="D45" s="131">
        <v>5.8</v>
      </c>
      <c r="E45" s="131">
        <v>4.3</v>
      </c>
      <c r="F45" s="131">
        <f t="shared" si="0"/>
        <v>24.939999999999998</v>
      </c>
      <c r="G45" s="132"/>
      <c r="H45" s="132"/>
      <c r="I45" s="132">
        <f>12+4.5</f>
        <v>16.5</v>
      </c>
      <c r="J45" s="133">
        <v>4.3</v>
      </c>
      <c r="N45" s="38"/>
      <c r="O45" s="39"/>
      <c r="P45" s="39"/>
      <c r="Q45" s="39"/>
      <c r="R45" s="39"/>
      <c r="S45" s="68"/>
      <c r="T45" s="68"/>
      <c r="U45" s="68"/>
      <c r="V45" s="39"/>
    </row>
    <row r="46" spans="1:22">
      <c r="A46" s="129"/>
      <c r="B46" s="130">
        <v>6</v>
      </c>
      <c r="C46" s="131" t="s">
        <v>127</v>
      </c>
      <c r="D46" s="131">
        <v>6</v>
      </c>
      <c r="E46" s="131">
        <v>5.8</v>
      </c>
      <c r="F46" s="131">
        <f t="shared" si="0"/>
        <v>34.799999999999997</v>
      </c>
      <c r="G46" s="132"/>
      <c r="H46" s="132">
        <v>0</v>
      </c>
      <c r="I46" s="132">
        <v>23.6</v>
      </c>
      <c r="J46" s="133">
        <v>6</v>
      </c>
      <c r="N46" s="38"/>
      <c r="O46" s="39"/>
      <c r="P46" s="39"/>
      <c r="Q46" s="39"/>
      <c r="R46" s="39"/>
      <c r="S46" s="68"/>
      <c r="T46" s="68"/>
      <c r="U46" s="68"/>
      <c r="V46" s="39"/>
    </row>
    <row r="47" spans="1:22">
      <c r="A47" s="129"/>
      <c r="B47" s="130">
        <v>7</v>
      </c>
      <c r="C47" s="131" t="s">
        <v>128</v>
      </c>
      <c r="D47" s="131">
        <v>6.8</v>
      </c>
      <c r="E47" s="131">
        <v>5</v>
      </c>
      <c r="F47" s="131">
        <f t="shared" si="0"/>
        <v>34</v>
      </c>
      <c r="G47" s="132"/>
      <c r="H47" s="132"/>
      <c r="I47" s="132">
        <v>16.8</v>
      </c>
      <c r="J47" s="133">
        <v>8.1999999999999993</v>
      </c>
      <c r="N47" s="38"/>
      <c r="O47" s="39"/>
      <c r="P47" s="39"/>
      <c r="Q47" s="39"/>
      <c r="R47" s="39"/>
      <c r="S47" s="68"/>
      <c r="T47" s="68"/>
      <c r="U47" s="68"/>
      <c r="V47" s="39"/>
    </row>
    <row r="48" spans="1:22">
      <c r="A48" s="129"/>
      <c r="B48" s="130">
        <v>8</v>
      </c>
      <c r="C48" s="131" t="s">
        <v>129</v>
      </c>
      <c r="D48" s="131">
        <v>54</v>
      </c>
      <c r="E48" s="131">
        <v>8.8000000000000007</v>
      </c>
      <c r="F48" s="131">
        <f t="shared" si="0"/>
        <v>475.20000000000005</v>
      </c>
      <c r="G48" s="132"/>
      <c r="H48" s="132">
        <v>54</v>
      </c>
      <c r="I48" s="132">
        <f>20.8+54</f>
        <v>74.8</v>
      </c>
      <c r="J48" s="133">
        <v>54</v>
      </c>
      <c r="N48" s="38"/>
      <c r="O48" s="39"/>
      <c r="P48" s="39"/>
      <c r="Q48" s="39"/>
      <c r="R48" s="39"/>
      <c r="S48" s="68"/>
      <c r="T48" s="68"/>
      <c r="U48" s="68"/>
      <c r="V48" s="39"/>
    </row>
    <row r="49" spans="1:24">
      <c r="A49" s="129"/>
      <c r="B49" s="130">
        <v>9</v>
      </c>
      <c r="C49" s="131" t="s">
        <v>130</v>
      </c>
      <c r="D49" s="131">
        <v>11.2</v>
      </c>
      <c r="E49" s="131">
        <v>5.8</v>
      </c>
      <c r="F49" s="131">
        <f t="shared" si="0"/>
        <v>64.959999999999994</v>
      </c>
      <c r="G49" s="132"/>
      <c r="H49" s="132">
        <v>11.2</v>
      </c>
      <c r="I49" s="132">
        <f>12+11.5</f>
        <v>23.5</v>
      </c>
      <c r="J49" s="133"/>
      <c r="N49" s="38"/>
      <c r="O49" s="39"/>
      <c r="P49" s="39"/>
      <c r="Q49" s="39"/>
      <c r="R49" s="39"/>
      <c r="S49" s="68"/>
      <c r="T49" s="68"/>
      <c r="U49" s="68"/>
      <c r="V49" s="39"/>
    </row>
    <row r="50" spans="1:24">
      <c r="A50" s="129"/>
      <c r="B50" s="130">
        <v>10</v>
      </c>
      <c r="C50" s="131" t="s">
        <v>13</v>
      </c>
      <c r="D50" s="131">
        <v>5.8</v>
      </c>
      <c r="E50" s="131">
        <v>4.2</v>
      </c>
      <c r="F50" s="131">
        <f t="shared" si="0"/>
        <v>24.36</v>
      </c>
      <c r="G50" s="132"/>
      <c r="H50" s="132">
        <f>4.5+6</f>
        <v>10.5</v>
      </c>
      <c r="I50" s="132">
        <f>5.8+4.2+5.8</f>
        <v>15.8</v>
      </c>
      <c r="J50" s="133"/>
      <c r="N50" s="38"/>
      <c r="O50" s="39"/>
      <c r="P50" s="39"/>
      <c r="Q50" s="39"/>
      <c r="R50" s="39"/>
      <c r="S50" s="68"/>
      <c r="T50" s="68"/>
      <c r="U50" s="68"/>
      <c r="V50" s="39"/>
    </row>
    <row r="51" spans="1:24">
      <c r="A51" s="129"/>
      <c r="B51" s="130">
        <v>11</v>
      </c>
      <c r="C51" s="131" t="s">
        <v>134</v>
      </c>
      <c r="D51" s="131">
        <f>8.2+6.8</f>
        <v>15</v>
      </c>
      <c r="E51" s="131">
        <v>8.1999999999999993</v>
      </c>
      <c r="F51" s="131">
        <f t="shared" si="0"/>
        <v>122.99999999999999</v>
      </c>
      <c r="G51" s="132">
        <f>5.4*4+7</f>
        <v>28.6</v>
      </c>
      <c r="H51" s="132">
        <f>(8.2+6.8)*2+8.2</f>
        <v>38.200000000000003</v>
      </c>
      <c r="I51" s="132"/>
      <c r="J51" s="133"/>
      <c r="N51" s="38"/>
      <c r="O51" s="39"/>
      <c r="P51" s="39"/>
      <c r="Q51" s="39"/>
      <c r="R51" s="39"/>
      <c r="S51" s="68"/>
      <c r="T51" s="68"/>
      <c r="U51" s="68"/>
      <c r="V51" s="39"/>
    </row>
    <row r="52" spans="1:24">
      <c r="A52" s="129"/>
      <c r="B52" s="130">
        <v>12</v>
      </c>
      <c r="C52" s="131" t="s">
        <v>131</v>
      </c>
      <c r="D52" s="131">
        <f>10.3+3.3</f>
        <v>13.600000000000001</v>
      </c>
      <c r="E52" s="131">
        <v>6.6</v>
      </c>
      <c r="F52" s="131">
        <f t="shared" si="0"/>
        <v>89.76</v>
      </c>
      <c r="G52" s="132">
        <f>9+10.3</f>
        <v>19.3</v>
      </c>
      <c r="H52" s="132">
        <f>10.3*2+6.5</f>
        <v>27.1</v>
      </c>
      <c r="I52" s="132"/>
      <c r="J52" s="133">
        <f>9+16+7</f>
        <v>32</v>
      </c>
      <c r="N52" s="38"/>
      <c r="O52" s="39"/>
      <c r="P52" s="39"/>
      <c r="Q52" s="39"/>
      <c r="R52" s="39"/>
      <c r="S52" s="68"/>
      <c r="T52" s="68"/>
      <c r="U52" s="68"/>
      <c r="V52" s="39"/>
    </row>
    <row r="53" spans="1:24">
      <c r="A53" s="129"/>
      <c r="B53" s="130">
        <v>13</v>
      </c>
      <c r="C53" s="131" t="s">
        <v>135</v>
      </c>
      <c r="D53" s="131">
        <v>55</v>
      </c>
      <c r="E53" s="131">
        <v>11.2</v>
      </c>
      <c r="F53" s="131">
        <f t="shared" si="0"/>
        <v>616</v>
      </c>
      <c r="G53" s="132">
        <f>7.7*4+45.2</f>
        <v>76</v>
      </c>
      <c r="H53" s="132">
        <f>55*2+11.2*2</f>
        <v>132.4</v>
      </c>
      <c r="I53" s="132"/>
      <c r="J53" s="133"/>
      <c r="N53" s="38"/>
      <c r="O53" s="39"/>
      <c r="P53" s="39"/>
      <c r="Q53" s="39"/>
      <c r="R53" s="39"/>
      <c r="S53" s="68"/>
      <c r="T53" s="68"/>
      <c r="U53" s="68"/>
      <c r="V53" s="39"/>
    </row>
    <row r="54" spans="1:24">
      <c r="A54" s="129"/>
      <c r="B54" s="130">
        <v>14</v>
      </c>
      <c r="C54" s="131" t="s">
        <v>23</v>
      </c>
      <c r="D54" s="131">
        <v>11.6</v>
      </c>
      <c r="E54" s="131">
        <v>7.6</v>
      </c>
      <c r="F54" s="131">
        <f t="shared" si="0"/>
        <v>88.16</v>
      </c>
      <c r="G54" s="132">
        <v>11.6</v>
      </c>
      <c r="H54" s="132">
        <f>7.6*2+11.6*2</f>
        <v>38.4</v>
      </c>
      <c r="I54" s="132"/>
      <c r="J54" s="133"/>
      <c r="N54" s="38"/>
      <c r="O54" s="39"/>
      <c r="P54" s="39"/>
      <c r="Q54" s="39"/>
      <c r="R54" s="39"/>
      <c r="S54" s="68"/>
      <c r="T54" s="68"/>
      <c r="U54" s="68"/>
      <c r="V54" s="39"/>
    </row>
    <row r="55" spans="1:24">
      <c r="A55" s="129"/>
      <c r="B55" s="130">
        <v>15</v>
      </c>
      <c r="C55" s="131" t="s">
        <v>114</v>
      </c>
      <c r="D55" s="131">
        <f>3.9*2+4</f>
        <v>11.8</v>
      </c>
      <c r="E55" s="131">
        <v>8</v>
      </c>
      <c r="F55" s="131">
        <f t="shared" si="0"/>
        <v>94.4</v>
      </c>
      <c r="G55" s="132">
        <f>5.2*4+4</f>
        <v>24.8</v>
      </c>
      <c r="H55" s="132"/>
      <c r="I55" s="132"/>
      <c r="J55" s="133">
        <f>11.8*2+16</f>
        <v>39.6</v>
      </c>
      <c r="N55" s="38"/>
      <c r="O55" s="39"/>
      <c r="P55" s="39"/>
      <c r="Q55" s="39"/>
      <c r="R55" s="39"/>
      <c r="S55" s="68"/>
      <c r="T55" s="68"/>
      <c r="U55" s="68"/>
      <c r="V55" s="39"/>
    </row>
    <row r="56" spans="1:24">
      <c r="A56" s="129"/>
      <c r="B56" s="130">
        <v>16</v>
      </c>
      <c r="C56" s="131" t="s">
        <v>132</v>
      </c>
      <c r="D56" s="131">
        <v>22</v>
      </c>
      <c r="E56" s="131">
        <f>6.7*2</f>
        <v>13.4</v>
      </c>
      <c r="F56" s="131">
        <f t="shared" si="0"/>
        <v>294.8</v>
      </c>
      <c r="G56" s="132">
        <v>21</v>
      </c>
      <c r="H56" s="132">
        <f>42+14*2</f>
        <v>70</v>
      </c>
      <c r="I56" s="132">
        <f>28</f>
        <v>28</v>
      </c>
      <c r="J56" s="133">
        <v>42</v>
      </c>
      <c r="N56" s="38"/>
      <c r="O56" s="39"/>
      <c r="P56" s="39"/>
      <c r="Q56" s="39"/>
      <c r="R56" s="39"/>
      <c r="S56" s="68"/>
      <c r="T56" s="68"/>
      <c r="U56" s="68"/>
      <c r="V56" s="39"/>
    </row>
    <row r="57" spans="1:24">
      <c r="A57" s="129"/>
      <c r="B57" s="130">
        <v>17</v>
      </c>
      <c r="C57" s="131" t="s">
        <v>136</v>
      </c>
      <c r="D57" s="131">
        <v>18</v>
      </c>
      <c r="E57" s="131"/>
      <c r="F57" s="131">
        <f t="shared" si="0"/>
        <v>0</v>
      </c>
      <c r="G57" s="132"/>
      <c r="H57" s="132"/>
      <c r="I57" s="132">
        <v>18</v>
      </c>
      <c r="J57" s="133"/>
      <c r="N57" s="38"/>
      <c r="O57" s="39"/>
      <c r="P57" s="39"/>
      <c r="Q57" s="39"/>
      <c r="R57" s="39"/>
      <c r="S57" s="68"/>
      <c r="T57" s="68"/>
      <c r="U57" s="68"/>
      <c r="V57" s="39"/>
    </row>
    <row r="58" spans="1:24">
      <c r="A58" s="134"/>
      <c r="B58" s="135" t="s">
        <v>116</v>
      </c>
      <c r="C58" s="136" t="s">
        <v>120</v>
      </c>
      <c r="D58" s="136">
        <v>66</v>
      </c>
      <c r="E58" s="136"/>
      <c r="F58" s="136"/>
      <c r="G58" s="137"/>
      <c r="H58" s="137"/>
      <c r="I58" s="137"/>
      <c r="J58" s="138"/>
      <c r="N58" s="1"/>
      <c r="O58" s="2"/>
      <c r="P58" s="2"/>
      <c r="Q58" s="2"/>
      <c r="R58" s="58"/>
      <c r="S58" s="66"/>
      <c r="T58" s="66"/>
      <c r="U58" s="66"/>
      <c r="V58" s="2"/>
    </row>
    <row r="59" spans="1:24">
      <c r="R59" s="75"/>
      <c r="S59" s="75"/>
      <c r="T59" s="75"/>
      <c r="U59" s="75"/>
      <c r="V59" s="75"/>
    </row>
    <row r="60" spans="1:24" ht="15.75">
      <c r="A60" s="139"/>
      <c r="B60" s="213" t="s">
        <v>103</v>
      </c>
      <c r="C60" s="214"/>
      <c r="D60" s="214"/>
      <c r="E60" s="214"/>
      <c r="F60" s="214"/>
      <c r="G60" s="214"/>
      <c r="H60" s="215" t="s">
        <v>115</v>
      </c>
      <c r="I60" s="215"/>
      <c r="J60" s="140">
        <f>SUM(J62:J279)</f>
        <v>175000.00200000001</v>
      </c>
      <c r="L60" s="61"/>
      <c r="M60" s="14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4">
      <c r="A61" s="141"/>
      <c r="B61" s="142" t="s">
        <v>66</v>
      </c>
      <c r="C61" s="143" t="s">
        <v>98</v>
      </c>
      <c r="D61" s="144" t="s">
        <v>78</v>
      </c>
      <c r="E61" s="144" t="s">
        <v>104</v>
      </c>
      <c r="F61" s="145" t="s">
        <v>106</v>
      </c>
      <c r="G61" s="145" t="s">
        <v>107</v>
      </c>
      <c r="H61" s="145" t="s">
        <v>108</v>
      </c>
      <c r="I61" s="146" t="s">
        <v>108</v>
      </c>
      <c r="J61" s="147" t="s">
        <v>80</v>
      </c>
      <c r="L61" s="76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13"/>
      <c r="X61" s="13"/>
    </row>
    <row r="62" spans="1:24">
      <c r="A62" s="141"/>
      <c r="B62" s="148">
        <v>1</v>
      </c>
      <c r="C62" s="149" t="str">
        <f>C41</f>
        <v>PROF. BIOLOGIA [ANEXO ESTACIONAMEMTO]</v>
      </c>
      <c r="D62" s="150"/>
      <c r="E62" s="151"/>
      <c r="F62" s="152" t="s">
        <v>105</v>
      </c>
      <c r="G62" s="152" t="s">
        <v>105</v>
      </c>
      <c r="H62" s="152" t="s">
        <v>109</v>
      </c>
      <c r="I62" s="153" t="s">
        <v>110</v>
      </c>
      <c r="J62" s="154">
        <f>SUM(I63:I72)</f>
        <v>10415.132</v>
      </c>
      <c r="L62" s="76"/>
      <c r="M62" s="74"/>
      <c r="N62" s="14"/>
      <c r="O62" s="13"/>
      <c r="P62" s="74"/>
      <c r="Q62" s="74"/>
      <c r="R62" s="74"/>
      <c r="S62" s="74"/>
      <c r="T62" s="74"/>
      <c r="U62" s="13"/>
      <c r="V62" s="13"/>
      <c r="W62" s="13"/>
      <c r="X62" s="13"/>
    </row>
    <row r="63" spans="1:24">
      <c r="A63" s="155">
        <v>1</v>
      </c>
      <c r="B63" s="142" t="s">
        <v>70</v>
      </c>
      <c r="C63" s="144" t="str">
        <f t="shared" ref="C63:C72" si="1">VLOOKUP(A63,$A$5:$J$33,3)</f>
        <v>REMOÇÃO DE TELHAS</v>
      </c>
      <c r="D63" s="156">
        <f>$F$41</f>
        <v>146.64000000000001</v>
      </c>
      <c r="E63" s="144" t="s">
        <v>7</v>
      </c>
      <c r="F63" s="144">
        <f>$G$6</f>
        <v>1</v>
      </c>
      <c r="G63" s="145">
        <f>$H$6</f>
        <v>2</v>
      </c>
      <c r="H63" s="157">
        <f>(G63+F63)*D63</f>
        <v>439.92000000000007</v>
      </c>
      <c r="I63" s="158">
        <f>($I$2+1)*H63</f>
        <v>571.89600000000007</v>
      </c>
      <c r="J63" s="159"/>
      <c r="L63" s="76"/>
      <c r="M63" s="74"/>
      <c r="N63" s="74"/>
      <c r="O63" s="74"/>
      <c r="P63" s="74"/>
      <c r="Q63" s="74"/>
      <c r="R63" s="74"/>
      <c r="S63" s="74"/>
      <c r="T63" s="74"/>
      <c r="U63" s="13"/>
      <c r="V63" s="13"/>
      <c r="W63" s="13"/>
      <c r="X63" s="13"/>
    </row>
    <row r="64" spans="1:24">
      <c r="A64" s="155">
        <v>2</v>
      </c>
      <c r="B64" s="160" t="s">
        <v>71</v>
      </c>
      <c r="C64" s="161" t="str">
        <f t="shared" si="1"/>
        <v>REMOÇÃO DE CALHAS E RUFOS</v>
      </c>
      <c r="D64" s="162">
        <f>$I$41</f>
        <v>34.4</v>
      </c>
      <c r="E64" s="161" t="s">
        <v>6</v>
      </c>
      <c r="F64" s="161">
        <f>$G$9</f>
        <v>1</v>
      </c>
      <c r="G64" s="163">
        <f>$H$9</f>
        <v>2.2000000000000002</v>
      </c>
      <c r="H64" s="164">
        <f t="shared" ref="H64:H72" si="2">(F64+G64)*D64</f>
        <v>110.08</v>
      </c>
      <c r="I64" s="165">
        <f t="shared" ref="I64:I72" si="3">($I$2+1)*H64</f>
        <v>143.10400000000001</v>
      </c>
      <c r="J64" s="166"/>
      <c r="L64" s="70"/>
      <c r="M64" s="69"/>
      <c r="N64" s="69"/>
      <c r="O64" s="69"/>
      <c r="P64" s="69"/>
      <c r="Q64" s="69"/>
      <c r="R64" s="69"/>
      <c r="S64" s="69"/>
      <c r="T64" s="69"/>
    </row>
    <row r="65" spans="1:20">
      <c r="A65" s="155">
        <v>3</v>
      </c>
      <c r="B65" s="160" t="s">
        <v>72</v>
      </c>
      <c r="C65" s="161" t="str">
        <f t="shared" si="1"/>
        <v>REMOÇÃO DE ESTRUTURA DE MADEIRA</v>
      </c>
      <c r="D65" s="161">
        <v>0</v>
      </c>
      <c r="E65" s="161" t="s">
        <v>7</v>
      </c>
      <c r="F65" s="161">
        <f>$G$12</f>
        <v>2</v>
      </c>
      <c r="G65" s="163">
        <f>$H$12</f>
        <v>7.7</v>
      </c>
      <c r="H65" s="164">
        <f t="shared" si="2"/>
        <v>0</v>
      </c>
      <c r="I65" s="165">
        <f t="shared" si="3"/>
        <v>0</v>
      </c>
      <c r="J65" s="166"/>
      <c r="L65" s="38"/>
      <c r="M65" s="69"/>
      <c r="N65" s="69"/>
      <c r="O65" s="69"/>
      <c r="P65" s="69"/>
      <c r="Q65" s="69"/>
      <c r="R65" s="69"/>
      <c r="S65" s="69"/>
      <c r="T65" s="69"/>
    </row>
    <row r="66" spans="1:20">
      <c r="A66" s="155">
        <v>4</v>
      </c>
      <c r="B66" s="160" t="s">
        <v>73</v>
      </c>
      <c r="C66" s="161" t="str">
        <f t="shared" si="1"/>
        <v>EMBOÇO NA PLATIBANDA</v>
      </c>
      <c r="D66" s="162">
        <f>D64*0.5</f>
        <v>17.2</v>
      </c>
      <c r="E66" s="161" t="s">
        <v>7</v>
      </c>
      <c r="F66" s="161">
        <f>$G$15</f>
        <v>13.5</v>
      </c>
      <c r="G66" s="163">
        <f>$H$15</f>
        <v>14</v>
      </c>
      <c r="H66" s="164">
        <f t="shared" si="2"/>
        <v>473</v>
      </c>
      <c r="I66" s="165">
        <f t="shared" si="3"/>
        <v>614.9</v>
      </c>
      <c r="J66" s="166"/>
      <c r="L66" s="38"/>
      <c r="M66" s="69"/>
      <c r="N66" s="69"/>
      <c r="O66" s="69"/>
      <c r="P66" s="69"/>
      <c r="Q66" s="69"/>
      <c r="R66" s="69"/>
      <c r="S66" s="69"/>
      <c r="T66" s="69"/>
    </row>
    <row r="67" spans="1:20">
      <c r="A67" s="155">
        <v>5</v>
      </c>
      <c r="B67" s="160" t="s">
        <v>74</v>
      </c>
      <c r="C67" s="161" t="str">
        <f t="shared" si="1"/>
        <v>MADEIRAMENTO</v>
      </c>
      <c r="D67" s="161">
        <v>1</v>
      </c>
      <c r="E67" s="161" t="s">
        <v>7</v>
      </c>
      <c r="F67" s="161">
        <f>$G$18</f>
        <v>7.5</v>
      </c>
      <c r="G67" s="163">
        <f>$H$18</f>
        <v>2.5</v>
      </c>
      <c r="H67" s="164">
        <f t="shared" si="2"/>
        <v>10</v>
      </c>
      <c r="I67" s="165">
        <f t="shared" si="3"/>
        <v>13</v>
      </c>
      <c r="J67" s="166"/>
      <c r="L67" s="38"/>
      <c r="M67" s="69"/>
      <c r="N67" s="69"/>
      <c r="O67" s="69"/>
      <c r="P67" s="69"/>
      <c r="Q67" s="69"/>
      <c r="R67" s="69"/>
      <c r="S67" s="69"/>
      <c r="T67" s="69"/>
    </row>
    <row r="68" spans="1:20">
      <c r="A68" s="155">
        <v>6</v>
      </c>
      <c r="B68" s="160" t="s">
        <v>75</v>
      </c>
      <c r="C68" s="161" t="str">
        <f t="shared" si="1"/>
        <v>BEIRAL EM FORRO DE PVC</v>
      </c>
      <c r="D68" s="162">
        <f>D41</f>
        <v>15.6</v>
      </c>
      <c r="E68" s="161" t="s">
        <v>7</v>
      </c>
      <c r="F68" s="161">
        <f>$G$21</f>
        <v>29</v>
      </c>
      <c r="G68" s="163">
        <f>$H$21</f>
        <v>20</v>
      </c>
      <c r="H68" s="164">
        <f t="shared" si="2"/>
        <v>764.4</v>
      </c>
      <c r="I68" s="165">
        <f t="shared" si="3"/>
        <v>993.72</v>
      </c>
      <c r="J68" s="166"/>
      <c r="L68" s="38"/>
      <c r="M68" s="69"/>
      <c r="N68" s="69"/>
      <c r="O68" s="69"/>
      <c r="P68" s="69"/>
      <c r="Q68" s="69"/>
      <c r="R68" s="69"/>
      <c r="S68" s="69"/>
      <c r="T68" s="69"/>
    </row>
    <row r="69" spans="1:20">
      <c r="A69" s="155">
        <v>7</v>
      </c>
      <c r="B69" s="160" t="s">
        <v>94</v>
      </c>
      <c r="C69" s="161" t="str">
        <f t="shared" si="1"/>
        <v>TELHA</v>
      </c>
      <c r="D69" s="162">
        <f>D63</f>
        <v>146.64000000000001</v>
      </c>
      <c r="E69" s="161" t="s">
        <v>7</v>
      </c>
      <c r="F69" s="161">
        <f>$G$24</f>
        <v>27.5</v>
      </c>
      <c r="G69" s="163">
        <f>$H$24</f>
        <v>3.5</v>
      </c>
      <c r="H69" s="164">
        <f t="shared" si="2"/>
        <v>4545.84</v>
      </c>
      <c r="I69" s="165">
        <f t="shared" si="3"/>
        <v>5909.5920000000006</v>
      </c>
      <c r="J69" s="166"/>
      <c r="L69" s="38"/>
      <c r="M69" s="69"/>
      <c r="N69" s="69"/>
      <c r="O69" s="69"/>
      <c r="P69" s="69"/>
      <c r="Q69" s="69"/>
      <c r="R69" s="69"/>
      <c r="S69" s="69"/>
      <c r="T69" s="69"/>
    </row>
    <row r="70" spans="1:20">
      <c r="A70" s="155">
        <v>8</v>
      </c>
      <c r="B70" s="160" t="s">
        <v>95</v>
      </c>
      <c r="C70" s="161" t="str">
        <f t="shared" si="1"/>
        <v>CUMEEIRA</v>
      </c>
      <c r="D70" s="161">
        <v>0</v>
      </c>
      <c r="E70" s="161" t="s">
        <v>6</v>
      </c>
      <c r="F70" s="161">
        <f>$G$27</f>
        <v>60</v>
      </c>
      <c r="G70" s="163">
        <f>$H$27</f>
        <v>2.2999999999999998</v>
      </c>
      <c r="H70" s="164">
        <f t="shared" si="2"/>
        <v>0</v>
      </c>
      <c r="I70" s="165">
        <f t="shared" si="3"/>
        <v>0</v>
      </c>
      <c r="J70" s="166"/>
      <c r="L70" s="38"/>
      <c r="M70" s="69"/>
      <c r="N70" s="69"/>
      <c r="O70" s="69"/>
      <c r="P70" s="69"/>
      <c r="Q70" s="69"/>
      <c r="R70" s="69"/>
      <c r="S70" s="69"/>
      <c r="T70" s="69"/>
    </row>
    <row r="71" spans="1:20">
      <c r="A71" s="155">
        <v>9</v>
      </c>
      <c r="B71" s="160" t="s">
        <v>96</v>
      </c>
      <c r="C71" s="161" t="str">
        <f t="shared" si="1"/>
        <v>RUFO</v>
      </c>
      <c r="D71" s="162">
        <f>D64</f>
        <v>34.4</v>
      </c>
      <c r="E71" s="161" t="s">
        <v>6</v>
      </c>
      <c r="F71" s="162">
        <f>$G$30</f>
        <v>40.5</v>
      </c>
      <c r="G71" s="196">
        <f>$H$30</f>
        <v>8</v>
      </c>
      <c r="H71" s="164">
        <f t="shared" si="2"/>
        <v>1668.3999999999999</v>
      </c>
      <c r="I71" s="165">
        <f t="shared" si="3"/>
        <v>2168.92</v>
      </c>
      <c r="J71" s="166"/>
      <c r="L71" s="38"/>
      <c r="M71" s="69"/>
      <c r="N71" s="69"/>
      <c r="O71" s="69"/>
      <c r="P71" s="69"/>
      <c r="Q71" s="69"/>
      <c r="R71" s="69"/>
      <c r="S71" s="69"/>
      <c r="T71" s="69"/>
    </row>
    <row r="72" spans="1:20">
      <c r="A72" s="155">
        <v>10</v>
      </c>
      <c r="B72" s="167" t="s">
        <v>97</v>
      </c>
      <c r="C72" s="151" t="str">
        <f t="shared" si="1"/>
        <v>CALHA</v>
      </c>
      <c r="D72" s="168">
        <v>0</v>
      </c>
      <c r="E72" s="151" t="s">
        <v>6</v>
      </c>
      <c r="F72" s="168">
        <f>$G$33</f>
        <v>75</v>
      </c>
      <c r="G72" s="197">
        <f>$H$33</f>
        <v>15</v>
      </c>
      <c r="H72" s="169">
        <f t="shared" si="2"/>
        <v>0</v>
      </c>
      <c r="I72" s="170">
        <f t="shared" si="3"/>
        <v>0</v>
      </c>
      <c r="J72" s="171"/>
      <c r="L72" s="38"/>
      <c r="M72" s="69"/>
      <c r="N72" s="69"/>
      <c r="O72" s="69"/>
      <c r="P72" s="69"/>
      <c r="Q72" s="69"/>
      <c r="R72" s="69"/>
      <c r="S72" s="69"/>
      <c r="T72" s="69"/>
    </row>
    <row r="73" spans="1:20">
      <c r="A73" s="141"/>
      <c r="B73" s="172"/>
      <c r="C73" s="172"/>
      <c r="D73" s="172"/>
      <c r="E73" s="172"/>
      <c r="F73" s="173"/>
      <c r="G73" s="173"/>
      <c r="H73" s="173"/>
      <c r="I73" s="173"/>
      <c r="J73" s="166"/>
      <c r="L73" s="38"/>
      <c r="M73" s="69"/>
      <c r="N73" s="69"/>
      <c r="O73" s="69"/>
      <c r="P73" s="69"/>
      <c r="Q73" s="69"/>
      <c r="R73" s="69"/>
      <c r="S73" s="69"/>
      <c r="T73" s="69"/>
    </row>
    <row r="74" spans="1:20">
      <c r="A74" s="141"/>
      <c r="B74" s="142" t="s">
        <v>66</v>
      </c>
      <c r="C74" s="143" t="s">
        <v>98</v>
      </c>
      <c r="D74" s="144" t="s">
        <v>78</v>
      </c>
      <c r="E74" s="144" t="s">
        <v>104</v>
      </c>
      <c r="F74" s="145" t="s">
        <v>106</v>
      </c>
      <c r="G74" s="145" t="s">
        <v>107</v>
      </c>
      <c r="H74" s="145" t="s">
        <v>108</v>
      </c>
      <c r="I74" s="146" t="s">
        <v>108</v>
      </c>
      <c r="J74" s="147" t="s">
        <v>80</v>
      </c>
      <c r="L74" s="38"/>
      <c r="M74" s="69"/>
      <c r="N74" s="69"/>
      <c r="O74" s="69"/>
      <c r="P74" s="69"/>
      <c r="Q74" s="69"/>
      <c r="R74" s="69"/>
      <c r="S74" s="69"/>
      <c r="T74" s="69"/>
    </row>
    <row r="75" spans="1:20">
      <c r="A75" s="141"/>
      <c r="B75" s="148">
        <v>2</v>
      </c>
      <c r="C75" s="174" t="str">
        <f>VLOOKUP(B75,$B$41:$J$57,2)</f>
        <v>REMIFOR [ANEXO ESTACIONAMEMTO]</v>
      </c>
      <c r="D75" s="150"/>
      <c r="E75" s="151"/>
      <c r="F75" s="152" t="s">
        <v>105</v>
      </c>
      <c r="G75" s="152" t="s">
        <v>105</v>
      </c>
      <c r="H75" s="152" t="s">
        <v>109</v>
      </c>
      <c r="I75" s="153" t="s">
        <v>110</v>
      </c>
      <c r="J75" s="154">
        <f>SUM(I76:I85)</f>
        <v>8891.7465000000011</v>
      </c>
      <c r="L75" s="38"/>
      <c r="M75" s="69"/>
      <c r="N75" s="69"/>
      <c r="O75" s="69"/>
      <c r="P75" s="69"/>
      <c r="Q75" s="69"/>
      <c r="R75" s="69"/>
      <c r="S75" s="69"/>
      <c r="T75" s="69"/>
    </row>
    <row r="76" spans="1:20">
      <c r="A76" s="155">
        <v>1</v>
      </c>
      <c r="B76" s="142" t="s">
        <v>70</v>
      </c>
      <c r="C76" s="144" t="str">
        <f t="shared" ref="C76:C85" si="4">VLOOKUP(A76,$A$5:$J$33,3)</f>
        <v>REMOÇÃO DE TELHAS</v>
      </c>
      <c r="D76" s="156">
        <f>$F$42</f>
        <v>119.35000000000001</v>
      </c>
      <c r="E76" s="144" t="s">
        <v>7</v>
      </c>
      <c r="F76" s="144">
        <f>$G$6</f>
        <v>1</v>
      </c>
      <c r="G76" s="145">
        <f>$H$6</f>
        <v>2</v>
      </c>
      <c r="H76" s="157">
        <f>(G76+F76)*D76</f>
        <v>358.05</v>
      </c>
      <c r="I76" s="158">
        <f>($I$2+1)*H76</f>
        <v>465.46500000000003</v>
      </c>
      <c r="J76" s="159"/>
      <c r="L76" s="38"/>
      <c r="M76" s="69"/>
      <c r="N76" s="69"/>
      <c r="O76" s="69"/>
      <c r="P76" s="69"/>
      <c r="Q76" s="69"/>
      <c r="R76" s="69"/>
      <c r="S76" s="69"/>
      <c r="T76" s="69"/>
    </row>
    <row r="77" spans="1:20">
      <c r="A77" s="155">
        <v>2</v>
      </c>
      <c r="B77" s="160" t="s">
        <v>71</v>
      </c>
      <c r="C77" s="161" t="str">
        <f t="shared" si="4"/>
        <v>REMOÇÃO DE CALHAS E RUFOS</v>
      </c>
      <c r="D77" s="162">
        <f>$I$42</f>
        <v>30.9</v>
      </c>
      <c r="E77" s="161" t="s">
        <v>6</v>
      </c>
      <c r="F77" s="161">
        <f>$G$9</f>
        <v>1</v>
      </c>
      <c r="G77" s="163">
        <f>$H$9</f>
        <v>2.2000000000000002</v>
      </c>
      <c r="H77" s="164">
        <f t="shared" ref="H77:H85" si="5">(F77+G77)*D77</f>
        <v>98.88</v>
      </c>
      <c r="I77" s="165">
        <f t="shared" ref="I77:I85" si="6">($I$2+1)*H77</f>
        <v>128.54400000000001</v>
      </c>
      <c r="J77" s="166"/>
      <c r="L77" s="38"/>
      <c r="M77" s="69"/>
      <c r="N77" s="69"/>
      <c r="O77" s="69"/>
      <c r="P77" s="69"/>
      <c r="Q77" s="69"/>
      <c r="R77" s="69"/>
      <c r="S77" s="69"/>
      <c r="T77" s="69"/>
    </row>
    <row r="78" spans="1:20">
      <c r="A78" s="155">
        <v>3</v>
      </c>
      <c r="B78" s="160" t="s">
        <v>72</v>
      </c>
      <c r="C78" s="161" t="str">
        <f t="shared" si="4"/>
        <v>REMOÇÃO DE ESTRUTURA DE MADEIRA</v>
      </c>
      <c r="D78" s="161">
        <v>0</v>
      </c>
      <c r="E78" s="161" t="s">
        <v>7</v>
      </c>
      <c r="F78" s="161">
        <f>$G$12</f>
        <v>2</v>
      </c>
      <c r="G78" s="163">
        <f>$H$12</f>
        <v>7.7</v>
      </c>
      <c r="H78" s="164">
        <f t="shared" si="5"/>
        <v>0</v>
      </c>
      <c r="I78" s="165">
        <f t="shared" si="6"/>
        <v>0</v>
      </c>
      <c r="J78" s="166"/>
      <c r="L78" s="38"/>
      <c r="M78" s="69"/>
      <c r="N78" s="69"/>
      <c r="O78" s="69"/>
      <c r="P78" s="69"/>
      <c r="Q78" s="69"/>
      <c r="R78" s="69"/>
      <c r="S78" s="69"/>
      <c r="T78" s="69"/>
    </row>
    <row r="79" spans="1:20">
      <c r="A79" s="155">
        <v>4</v>
      </c>
      <c r="B79" s="160" t="s">
        <v>73</v>
      </c>
      <c r="C79" s="161" t="str">
        <f t="shared" si="4"/>
        <v>EMBOÇO NA PLATIBANDA</v>
      </c>
      <c r="D79" s="162">
        <f>D77*0.5</f>
        <v>15.45</v>
      </c>
      <c r="E79" s="161" t="s">
        <v>7</v>
      </c>
      <c r="F79" s="161">
        <f>$G$15</f>
        <v>13.5</v>
      </c>
      <c r="G79" s="163">
        <f>$H$15</f>
        <v>14</v>
      </c>
      <c r="H79" s="164">
        <f t="shared" si="5"/>
        <v>424.875</v>
      </c>
      <c r="I79" s="165">
        <f t="shared" si="6"/>
        <v>552.33749999999998</v>
      </c>
      <c r="J79" s="166"/>
      <c r="L79" s="38"/>
      <c r="M79" s="69"/>
      <c r="N79" s="69"/>
      <c r="O79" s="69"/>
      <c r="P79" s="69"/>
      <c r="Q79" s="69"/>
      <c r="R79" s="69"/>
      <c r="S79" s="69"/>
      <c r="T79" s="69"/>
    </row>
    <row r="80" spans="1:20">
      <c r="A80" s="155">
        <v>5</v>
      </c>
      <c r="B80" s="160" t="s">
        <v>74</v>
      </c>
      <c r="C80" s="161" t="str">
        <f t="shared" si="4"/>
        <v>MADEIRAMENTO</v>
      </c>
      <c r="D80" s="161">
        <v>0</v>
      </c>
      <c r="E80" s="161" t="s">
        <v>7</v>
      </c>
      <c r="F80" s="161">
        <f>$G$18</f>
        <v>7.5</v>
      </c>
      <c r="G80" s="163">
        <f>$H$18</f>
        <v>2.5</v>
      </c>
      <c r="H80" s="164">
        <f t="shared" si="5"/>
        <v>0</v>
      </c>
      <c r="I80" s="165">
        <f t="shared" si="6"/>
        <v>0</v>
      </c>
      <c r="J80" s="166"/>
    </row>
    <row r="81" spans="1:20">
      <c r="A81" s="155">
        <v>6</v>
      </c>
      <c r="B81" s="160" t="s">
        <v>75</v>
      </c>
      <c r="C81" s="161" t="str">
        <f t="shared" si="4"/>
        <v>BEIRAL EM FORRO DE PVC</v>
      </c>
      <c r="D81" s="162">
        <f>D42</f>
        <v>15.5</v>
      </c>
      <c r="E81" s="161" t="s">
        <v>7</v>
      </c>
      <c r="F81" s="161">
        <f>$G$21</f>
        <v>29</v>
      </c>
      <c r="G81" s="163">
        <f>$H$21</f>
        <v>20</v>
      </c>
      <c r="H81" s="164">
        <f t="shared" si="5"/>
        <v>759.5</v>
      </c>
      <c r="I81" s="165">
        <f t="shared" si="6"/>
        <v>987.35</v>
      </c>
      <c r="J81" s="166"/>
    </row>
    <row r="82" spans="1:20">
      <c r="A82" s="155">
        <v>7</v>
      </c>
      <c r="B82" s="160" t="s">
        <v>94</v>
      </c>
      <c r="C82" s="161" t="str">
        <f t="shared" si="4"/>
        <v>TELHA</v>
      </c>
      <c r="D82" s="162">
        <f>D76</f>
        <v>119.35000000000001</v>
      </c>
      <c r="E82" s="161" t="s">
        <v>7</v>
      </c>
      <c r="F82" s="161">
        <f>$G$24</f>
        <v>27.5</v>
      </c>
      <c r="G82" s="163">
        <f>$H$24</f>
        <v>3.5</v>
      </c>
      <c r="H82" s="164">
        <f t="shared" si="5"/>
        <v>3699.8500000000004</v>
      </c>
      <c r="I82" s="165">
        <f t="shared" si="6"/>
        <v>4809.8050000000003</v>
      </c>
      <c r="J82" s="166"/>
    </row>
    <row r="83" spans="1:20">
      <c r="A83" s="155">
        <v>8</v>
      </c>
      <c r="B83" s="160" t="s">
        <v>95</v>
      </c>
      <c r="C83" s="161" t="str">
        <f t="shared" si="4"/>
        <v>CUMEEIRA</v>
      </c>
      <c r="D83" s="161">
        <v>0</v>
      </c>
      <c r="E83" s="161" t="s">
        <v>6</v>
      </c>
      <c r="F83" s="161">
        <f>$G$27</f>
        <v>60</v>
      </c>
      <c r="G83" s="163">
        <f>$H$27</f>
        <v>2.2999999999999998</v>
      </c>
      <c r="H83" s="164">
        <f t="shared" si="5"/>
        <v>0</v>
      </c>
      <c r="I83" s="165">
        <f t="shared" si="6"/>
        <v>0</v>
      </c>
      <c r="J83" s="166"/>
    </row>
    <row r="84" spans="1:20">
      <c r="A84" s="155">
        <v>9</v>
      </c>
      <c r="B84" s="160" t="s">
        <v>96</v>
      </c>
      <c r="C84" s="161" t="str">
        <f t="shared" si="4"/>
        <v>RUFO</v>
      </c>
      <c r="D84" s="162">
        <f>D77</f>
        <v>30.9</v>
      </c>
      <c r="E84" s="161" t="s">
        <v>6</v>
      </c>
      <c r="F84" s="162">
        <f>$G$30</f>
        <v>40.5</v>
      </c>
      <c r="G84" s="196">
        <f>$H$30</f>
        <v>8</v>
      </c>
      <c r="H84" s="164">
        <f t="shared" si="5"/>
        <v>1498.6499999999999</v>
      </c>
      <c r="I84" s="165">
        <f t="shared" si="6"/>
        <v>1948.2449999999999</v>
      </c>
      <c r="J84" s="166"/>
    </row>
    <row r="85" spans="1:20">
      <c r="A85" s="155">
        <v>10</v>
      </c>
      <c r="B85" s="167" t="s">
        <v>97</v>
      </c>
      <c r="C85" s="151" t="str">
        <f t="shared" si="4"/>
        <v>CALHA</v>
      </c>
      <c r="D85" s="168">
        <v>0</v>
      </c>
      <c r="E85" s="151" t="s">
        <v>6</v>
      </c>
      <c r="F85" s="168">
        <f>$G$33</f>
        <v>75</v>
      </c>
      <c r="G85" s="197">
        <f>$H$33</f>
        <v>15</v>
      </c>
      <c r="H85" s="169">
        <f t="shared" si="5"/>
        <v>0</v>
      </c>
      <c r="I85" s="170">
        <f t="shared" si="6"/>
        <v>0</v>
      </c>
      <c r="J85" s="171"/>
    </row>
    <row r="86" spans="1:20">
      <c r="A86" s="141"/>
      <c r="B86" s="172"/>
      <c r="C86" s="172"/>
      <c r="D86" s="172"/>
      <c r="E86" s="172"/>
      <c r="F86" s="173"/>
      <c r="G86" s="173"/>
      <c r="H86" s="173"/>
      <c r="I86" s="173"/>
      <c r="J86" s="166"/>
    </row>
    <row r="87" spans="1:20">
      <c r="A87" s="141"/>
      <c r="B87" s="142" t="s">
        <v>66</v>
      </c>
      <c r="C87" s="143" t="s">
        <v>98</v>
      </c>
      <c r="D87" s="144" t="s">
        <v>78</v>
      </c>
      <c r="E87" s="144" t="s">
        <v>104</v>
      </c>
      <c r="F87" s="145" t="s">
        <v>106</v>
      </c>
      <c r="G87" s="145" t="s">
        <v>107</v>
      </c>
      <c r="H87" s="145" t="s">
        <v>108</v>
      </c>
      <c r="I87" s="146" t="s">
        <v>108</v>
      </c>
      <c r="J87" s="147" t="s">
        <v>80</v>
      </c>
      <c r="L87" s="71"/>
      <c r="M87" s="71"/>
      <c r="N87" s="71"/>
      <c r="O87" s="71"/>
      <c r="P87" s="71"/>
      <c r="Q87" s="71"/>
      <c r="R87" s="71">
        <f t="shared" ref="R87:T105" si="7">R61</f>
        <v>0</v>
      </c>
      <c r="S87" s="71">
        <f t="shared" si="7"/>
        <v>0</v>
      </c>
      <c r="T87" s="71">
        <f t="shared" si="7"/>
        <v>0</v>
      </c>
    </row>
    <row r="88" spans="1:20">
      <c r="A88" s="141"/>
      <c r="B88" s="148">
        <v>3</v>
      </c>
      <c r="C88" s="174" t="str">
        <f>VLOOKUP(B88,$B$41:$J$57,2)</f>
        <v>PÓS, DORA, GEOGRAF. [ANEXO ESTACIONAMEMTO]</v>
      </c>
      <c r="D88" s="150"/>
      <c r="E88" s="151"/>
      <c r="F88" s="152" t="s">
        <v>105</v>
      </c>
      <c r="G88" s="152" t="s">
        <v>105</v>
      </c>
      <c r="H88" s="152" t="s">
        <v>109</v>
      </c>
      <c r="I88" s="153" t="s">
        <v>110</v>
      </c>
      <c r="J88" s="154">
        <f>SUM(I89:I98)</f>
        <v>21234.102499999997</v>
      </c>
      <c r="L88" s="71"/>
      <c r="M88" s="71"/>
      <c r="N88" s="71"/>
      <c r="O88" s="71"/>
      <c r="P88" s="71"/>
      <c r="Q88" s="71"/>
      <c r="R88" s="71">
        <f t="shared" si="7"/>
        <v>0</v>
      </c>
      <c r="S88" s="71">
        <f t="shared" si="7"/>
        <v>0</v>
      </c>
      <c r="T88" s="71">
        <f t="shared" si="7"/>
        <v>0</v>
      </c>
    </row>
    <row r="89" spans="1:20">
      <c r="A89" s="155">
        <v>1</v>
      </c>
      <c r="B89" s="142" t="s">
        <v>70</v>
      </c>
      <c r="C89" s="144" t="str">
        <f t="shared" ref="C89:C98" si="8">VLOOKUP(A89,$A$5:$J$33,3)</f>
        <v>REMOÇÃO DE TELHAS</v>
      </c>
      <c r="D89" s="156">
        <f>$F$43</f>
        <v>250.5</v>
      </c>
      <c r="E89" s="144" t="s">
        <v>7</v>
      </c>
      <c r="F89" s="144">
        <f>$G$6</f>
        <v>1</v>
      </c>
      <c r="G89" s="145">
        <f>$H$6</f>
        <v>2</v>
      </c>
      <c r="H89" s="157">
        <f>(G89+F89)*D89</f>
        <v>751.5</v>
      </c>
      <c r="I89" s="158">
        <f>($I$2+1)*H89</f>
        <v>976.95</v>
      </c>
      <c r="J89" s="159"/>
      <c r="L89" s="72"/>
      <c r="M89" s="72"/>
      <c r="N89" s="72"/>
      <c r="O89" s="72"/>
      <c r="P89" s="72"/>
      <c r="Q89" s="72"/>
      <c r="R89" s="72">
        <f t="shared" si="7"/>
        <v>0</v>
      </c>
      <c r="S89" s="72">
        <f t="shared" si="7"/>
        <v>0</v>
      </c>
      <c r="T89" s="72">
        <f t="shared" si="7"/>
        <v>0</v>
      </c>
    </row>
    <row r="90" spans="1:20">
      <c r="A90" s="155">
        <v>2</v>
      </c>
      <c r="B90" s="160" t="s">
        <v>71</v>
      </c>
      <c r="C90" s="161" t="str">
        <f t="shared" si="8"/>
        <v>REMOÇÃO DE CALHAS E RUFOS</v>
      </c>
      <c r="D90" s="162">
        <f>$I$43</f>
        <v>48.5</v>
      </c>
      <c r="E90" s="161" t="s">
        <v>6</v>
      </c>
      <c r="F90" s="161">
        <f>$G$9</f>
        <v>1</v>
      </c>
      <c r="G90" s="163">
        <f>$H$9</f>
        <v>2.2000000000000002</v>
      </c>
      <c r="H90" s="164">
        <f t="shared" ref="H90:H98" si="9">(F90+G90)*D90</f>
        <v>155.20000000000002</v>
      </c>
      <c r="I90" s="165">
        <f t="shared" ref="I90:I98" si="10">($I$2+1)*H90</f>
        <v>201.76000000000002</v>
      </c>
      <c r="J90" s="166"/>
      <c r="L90" s="72"/>
      <c r="M90" s="72"/>
      <c r="N90" s="72"/>
      <c r="O90" s="72"/>
      <c r="P90" s="72"/>
      <c r="Q90" s="72"/>
      <c r="R90" s="72">
        <f t="shared" si="7"/>
        <v>0</v>
      </c>
      <c r="S90" s="72">
        <f t="shared" si="7"/>
        <v>0</v>
      </c>
      <c r="T90" s="72">
        <f t="shared" si="7"/>
        <v>0</v>
      </c>
    </row>
    <row r="91" spans="1:20">
      <c r="A91" s="155">
        <v>3</v>
      </c>
      <c r="B91" s="160" t="s">
        <v>72</v>
      </c>
      <c r="C91" s="161" t="str">
        <f t="shared" si="8"/>
        <v>REMOÇÃO DE ESTRUTURA DE MADEIRA</v>
      </c>
      <c r="D91" s="161">
        <v>0</v>
      </c>
      <c r="E91" s="161" t="s">
        <v>7</v>
      </c>
      <c r="F91" s="161">
        <f>$G$12</f>
        <v>2</v>
      </c>
      <c r="G91" s="163">
        <f>$H$12</f>
        <v>7.7</v>
      </c>
      <c r="H91" s="164">
        <f t="shared" si="9"/>
        <v>0</v>
      </c>
      <c r="I91" s="165">
        <f t="shared" si="10"/>
        <v>0</v>
      </c>
      <c r="J91" s="166"/>
      <c r="L91" s="72"/>
      <c r="M91" s="72"/>
      <c r="N91" s="72"/>
      <c r="O91" s="72"/>
      <c r="P91" s="72"/>
      <c r="Q91" s="72"/>
      <c r="R91" s="72">
        <f t="shared" si="7"/>
        <v>0</v>
      </c>
      <c r="S91" s="72">
        <f t="shared" si="7"/>
        <v>0</v>
      </c>
      <c r="T91" s="72">
        <f t="shared" si="7"/>
        <v>0</v>
      </c>
    </row>
    <row r="92" spans="1:20">
      <c r="A92" s="155">
        <v>4</v>
      </c>
      <c r="B92" s="160" t="s">
        <v>73</v>
      </c>
      <c r="C92" s="161" t="str">
        <f t="shared" si="8"/>
        <v>EMBOÇO NA PLATIBANDA</v>
      </c>
      <c r="D92" s="162">
        <f>D90*0.5</f>
        <v>24.25</v>
      </c>
      <c r="E92" s="161" t="s">
        <v>7</v>
      </c>
      <c r="F92" s="161">
        <f>$G$15</f>
        <v>13.5</v>
      </c>
      <c r="G92" s="163">
        <f>$H$15</f>
        <v>14</v>
      </c>
      <c r="H92" s="164">
        <f t="shared" si="9"/>
        <v>666.875</v>
      </c>
      <c r="I92" s="165">
        <f t="shared" si="10"/>
        <v>866.9375</v>
      </c>
      <c r="J92" s="166"/>
      <c r="L92" s="71"/>
      <c r="M92" s="71"/>
      <c r="N92" s="71"/>
      <c r="O92" s="71"/>
      <c r="P92" s="71"/>
      <c r="Q92" s="71"/>
      <c r="R92" s="71">
        <f t="shared" si="7"/>
        <v>0</v>
      </c>
      <c r="S92" s="71">
        <f t="shared" si="7"/>
        <v>0</v>
      </c>
      <c r="T92" s="71">
        <f t="shared" si="7"/>
        <v>0</v>
      </c>
    </row>
    <row r="93" spans="1:20">
      <c r="A93" s="155">
        <v>5</v>
      </c>
      <c r="B93" s="160" t="s">
        <v>74</v>
      </c>
      <c r="C93" s="161" t="str">
        <f t="shared" si="8"/>
        <v>MADEIRAMENTO</v>
      </c>
      <c r="D93" s="161">
        <v>0</v>
      </c>
      <c r="E93" s="161" t="s">
        <v>7</v>
      </c>
      <c r="F93" s="161">
        <f>$G$18</f>
        <v>7.5</v>
      </c>
      <c r="G93" s="163">
        <f>$H$18</f>
        <v>2.5</v>
      </c>
      <c r="H93" s="164">
        <f t="shared" si="9"/>
        <v>0</v>
      </c>
      <c r="I93" s="165">
        <f t="shared" si="10"/>
        <v>0</v>
      </c>
      <c r="J93" s="166"/>
      <c r="L93" s="71"/>
      <c r="M93" s="71"/>
      <c r="N93" s="71"/>
      <c r="O93" s="71"/>
      <c r="P93" s="71"/>
      <c r="Q93" s="71"/>
      <c r="R93" s="71">
        <f t="shared" si="7"/>
        <v>0</v>
      </c>
      <c r="S93" s="71">
        <f t="shared" si="7"/>
        <v>0</v>
      </c>
      <c r="T93" s="71">
        <f t="shared" si="7"/>
        <v>0</v>
      </c>
    </row>
    <row r="94" spans="1:20">
      <c r="A94" s="155">
        <v>6</v>
      </c>
      <c r="B94" s="160" t="s">
        <v>75</v>
      </c>
      <c r="C94" s="161" t="str">
        <f t="shared" si="8"/>
        <v>BEIRAL EM FORRO DE PVC</v>
      </c>
      <c r="D94" s="162">
        <f>D43</f>
        <v>33.4</v>
      </c>
      <c r="E94" s="161" t="s">
        <v>7</v>
      </c>
      <c r="F94" s="161">
        <f>$G$21</f>
        <v>29</v>
      </c>
      <c r="G94" s="163">
        <f>$H$21</f>
        <v>20</v>
      </c>
      <c r="H94" s="164">
        <f t="shared" si="9"/>
        <v>1636.6</v>
      </c>
      <c r="I94" s="165">
        <f t="shared" si="10"/>
        <v>2127.58</v>
      </c>
      <c r="J94" s="166"/>
      <c r="L94" s="71"/>
      <c r="M94" s="71"/>
      <c r="N94" s="71"/>
      <c r="O94" s="71"/>
      <c r="P94" s="71"/>
      <c r="Q94" s="71"/>
      <c r="R94" s="71">
        <f t="shared" si="7"/>
        <v>0</v>
      </c>
      <c r="S94" s="71">
        <f t="shared" si="7"/>
        <v>0</v>
      </c>
      <c r="T94" s="71">
        <f t="shared" si="7"/>
        <v>0</v>
      </c>
    </row>
    <row r="95" spans="1:20">
      <c r="A95" s="155">
        <v>7</v>
      </c>
      <c r="B95" s="160" t="s">
        <v>94</v>
      </c>
      <c r="C95" s="161" t="str">
        <f t="shared" si="8"/>
        <v>TELHA</v>
      </c>
      <c r="D95" s="162">
        <f>D89</f>
        <v>250.5</v>
      </c>
      <c r="E95" s="161" t="s">
        <v>7</v>
      </c>
      <c r="F95" s="161">
        <f>$G$24</f>
        <v>27.5</v>
      </c>
      <c r="G95" s="163">
        <f>$H$24</f>
        <v>3.5</v>
      </c>
      <c r="H95" s="164">
        <f t="shared" si="9"/>
        <v>7765.5</v>
      </c>
      <c r="I95" s="165">
        <f t="shared" si="10"/>
        <v>10095.15</v>
      </c>
      <c r="J95" s="166"/>
      <c r="L95" s="71"/>
      <c r="M95" s="71"/>
      <c r="N95" s="71"/>
      <c r="O95" s="71"/>
      <c r="P95" s="71"/>
      <c r="Q95" s="71"/>
      <c r="R95" s="71">
        <f t="shared" si="7"/>
        <v>0</v>
      </c>
      <c r="S95" s="71">
        <f t="shared" si="7"/>
        <v>0</v>
      </c>
      <c r="T95" s="71">
        <f t="shared" si="7"/>
        <v>0</v>
      </c>
    </row>
    <row r="96" spans="1:20">
      <c r="A96" s="155">
        <v>8</v>
      </c>
      <c r="B96" s="160" t="s">
        <v>95</v>
      </c>
      <c r="C96" s="161" t="str">
        <f t="shared" si="8"/>
        <v>CUMEEIRA</v>
      </c>
      <c r="D96" s="161">
        <v>0</v>
      </c>
      <c r="E96" s="161" t="s">
        <v>6</v>
      </c>
      <c r="F96" s="161">
        <f>$G$27</f>
        <v>60</v>
      </c>
      <c r="G96" s="163">
        <f>$H$27</f>
        <v>2.2999999999999998</v>
      </c>
      <c r="H96" s="164">
        <f t="shared" si="9"/>
        <v>0</v>
      </c>
      <c r="I96" s="165">
        <f t="shared" si="10"/>
        <v>0</v>
      </c>
      <c r="J96" s="166"/>
      <c r="L96" s="71"/>
      <c r="M96" s="71"/>
      <c r="N96" s="71"/>
      <c r="O96" s="71"/>
      <c r="P96" s="71"/>
      <c r="Q96" s="71"/>
      <c r="R96" s="71">
        <f t="shared" si="7"/>
        <v>0</v>
      </c>
      <c r="S96" s="71">
        <f t="shared" si="7"/>
        <v>0</v>
      </c>
      <c r="T96" s="71">
        <f t="shared" si="7"/>
        <v>0</v>
      </c>
    </row>
    <row r="97" spans="1:20">
      <c r="A97" s="155">
        <v>9</v>
      </c>
      <c r="B97" s="160" t="s">
        <v>96</v>
      </c>
      <c r="C97" s="161" t="str">
        <f t="shared" si="8"/>
        <v>RUFO</v>
      </c>
      <c r="D97" s="162">
        <f>D90</f>
        <v>48.5</v>
      </c>
      <c r="E97" s="161" t="s">
        <v>6</v>
      </c>
      <c r="F97" s="162">
        <f>$G$30</f>
        <v>40.5</v>
      </c>
      <c r="G97" s="196">
        <f>$H$30</f>
        <v>8</v>
      </c>
      <c r="H97" s="164">
        <f t="shared" si="9"/>
        <v>2352.25</v>
      </c>
      <c r="I97" s="165">
        <f t="shared" si="10"/>
        <v>3057.9250000000002</v>
      </c>
      <c r="J97" s="166"/>
      <c r="L97" s="71"/>
      <c r="M97" s="71"/>
      <c r="N97" s="71"/>
      <c r="O97" s="71"/>
      <c r="P97" s="71"/>
      <c r="Q97" s="71"/>
      <c r="R97" s="71">
        <f t="shared" si="7"/>
        <v>0</v>
      </c>
      <c r="S97" s="71">
        <f t="shared" si="7"/>
        <v>0</v>
      </c>
      <c r="T97" s="71">
        <f t="shared" si="7"/>
        <v>0</v>
      </c>
    </row>
    <row r="98" spans="1:20">
      <c r="A98" s="155">
        <v>10</v>
      </c>
      <c r="B98" s="167" t="s">
        <v>97</v>
      </c>
      <c r="C98" s="151" t="str">
        <f t="shared" si="8"/>
        <v>CALHA</v>
      </c>
      <c r="D98" s="168">
        <f>J43</f>
        <v>33.4</v>
      </c>
      <c r="E98" s="151" t="s">
        <v>6</v>
      </c>
      <c r="F98" s="168">
        <f>$G$33</f>
        <v>75</v>
      </c>
      <c r="G98" s="197">
        <f>$H$33</f>
        <v>15</v>
      </c>
      <c r="H98" s="169">
        <f t="shared" si="9"/>
        <v>3006</v>
      </c>
      <c r="I98" s="170">
        <f t="shared" si="10"/>
        <v>3907.8</v>
      </c>
      <c r="J98" s="171"/>
      <c r="L98" s="71"/>
      <c r="M98" s="71"/>
      <c r="N98" s="71"/>
      <c r="O98" s="71"/>
      <c r="P98" s="71"/>
      <c r="Q98" s="71"/>
      <c r="R98" s="71">
        <f t="shared" si="7"/>
        <v>0</v>
      </c>
      <c r="S98" s="71">
        <f t="shared" si="7"/>
        <v>0</v>
      </c>
      <c r="T98" s="71">
        <f t="shared" si="7"/>
        <v>0</v>
      </c>
    </row>
    <row r="99" spans="1:20">
      <c r="A99" s="141"/>
      <c r="B99" s="172"/>
      <c r="C99" s="175"/>
      <c r="D99" s="172"/>
      <c r="E99" s="172"/>
      <c r="F99" s="173"/>
      <c r="G99" s="173"/>
      <c r="H99" s="173"/>
      <c r="I99" s="173"/>
      <c r="J99" s="166"/>
      <c r="L99" s="71"/>
      <c r="M99" s="71"/>
      <c r="N99" s="71"/>
      <c r="O99" s="71"/>
      <c r="P99" s="71"/>
      <c r="Q99" s="71"/>
      <c r="R99" s="71">
        <f t="shared" si="7"/>
        <v>0</v>
      </c>
      <c r="S99" s="71">
        <f t="shared" si="7"/>
        <v>0</v>
      </c>
      <c r="T99" s="71">
        <f t="shared" si="7"/>
        <v>0</v>
      </c>
    </row>
    <row r="100" spans="1:20">
      <c r="A100" s="141"/>
      <c r="B100" s="142" t="s">
        <v>66</v>
      </c>
      <c r="C100" s="143" t="s">
        <v>98</v>
      </c>
      <c r="D100" s="144" t="s">
        <v>78</v>
      </c>
      <c r="E100" s="144" t="s">
        <v>104</v>
      </c>
      <c r="F100" s="145" t="s">
        <v>106</v>
      </c>
      <c r="G100" s="145" t="s">
        <v>107</v>
      </c>
      <c r="H100" s="145" t="s">
        <v>108</v>
      </c>
      <c r="I100" s="146" t="s">
        <v>108</v>
      </c>
      <c r="J100" s="147" t="s">
        <v>80</v>
      </c>
      <c r="L100" s="71"/>
      <c r="M100" s="71"/>
      <c r="N100" s="71"/>
      <c r="O100" s="71"/>
      <c r="P100" s="71"/>
      <c r="Q100" s="71"/>
      <c r="R100" s="71">
        <f t="shared" si="7"/>
        <v>0</v>
      </c>
      <c r="S100" s="71">
        <f t="shared" si="7"/>
        <v>0</v>
      </c>
      <c r="T100" s="71">
        <f t="shared" si="7"/>
        <v>0</v>
      </c>
    </row>
    <row r="101" spans="1:20">
      <c r="A101" s="141"/>
      <c r="B101" s="148">
        <v>4</v>
      </c>
      <c r="C101" s="174" t="str">
        <f>VLOOKUP(B101,$B$41:$J$57,2)</f>
        <v>SIMONE, ALMOXARIFADO [FRENTE AO SALÃO NOBRE]</v>
      </c>
      <c r="D101" s="150"/>
      <c r="E101" s="151"/>
      <c r="F101" s="152" t="s">
        <v>105</v>
      </c>
      <c r="G101" s="152" t="s">
        <v>105</v>
      </c>
      <c r="H101" s="152" t="s">
        <v>109</v>
      </c>
      <c r="I101" s="153" t="s">
        <v>110</v>
      </c>
      <c r="J101" s="154">
        <f>SUM(I102:I111)</f>
        <v>8339.9874999999993</v>
      </c>
      <c r="L101" s="71"/>
      <c r="M101" s="71"/>
      <c r="N101" s="71"/>
      <c r="O101" s="71"/>
      <c r="P101" s="71"/>
      <c r="Q101" s="71"/>
      <c r="R101" s="71">
        <f t="shared" si="7"/>
        <v>0</v>
      </c>
      <c r="S101" s="71">
        <f t="shared" si="7"/>
        <v>0</v>
      </c>
      <c r="T101" s="71">
        <f t="shared" si="7"/>
        <v>0</v>
      </c>
    </row>
    <row r="102" spans="1:20">
      <c r="A102" s="155">
        <v>1</v>
      </c>
      <c r="B102" s="142" t="s">
        <v>70</v>
      </c>
      <c r="C102" s="144" t="str">
        <f t="shared" ref="C102:C111" si="11">VLOOKUP(A102,$A$5:$J$33,3)</f>
        <v>REMOÇÃO DE TELHAS</v>
      </c>
      <c r="D102" s="156">
        <f>$F$44</f>
        <v>90.75</v>
      </c>
      <c r="E102" s="144" t="s">
        <v>7</v>
      </c>
      <c r="F102" s="144">
        <f>$G$6</f>
        <v>1</v>
      </c>
      <c r="G102" s="145">
        <f>$H$6</f>
        <v>2</v>
      </c>
      <c r="H102" s="157">
        <f>(G102+F102)*D102</f>
        <v>272.25</v>
      </c>
      <c r="I102" s="158">
        <f>($I$2+1)*H102</f>
        <v>353.92500000000001</v>
      </c>
      <c r="J102" s="159"/>
      <c r="L102" s="71"/>
      <c r="M102" s="71"/>
      <c r="N102" s="71"/>
      <c r="O102" s="71"/>
      <c r="P102" s="71"/>
      <c r="Q102" s="71"/>
      <c r="R102" s="71">
        <f t="shared" si="7"/>
        <v>0</v>
      </c>
      <c r="S102" s="71">
        <f t="shared" si="7"/>
        <v>0</v>
      </c>
      <c r="T102" s="71">
        <f t="shared" si="7"/>
        <v>0</v>
      </c>
    </row>
    <row r="103" spans="1:20">
      <c r="A103" s="155">
        <v>2</v>
      </c>
      <c r="B103" s="160" t="s">
        <v>71</v>
      </c>
      <c r="C103" s="161" t="str">
        <f t="shared" si="11"/>
        <v>REMOÇÃO DE CALHAS E RUFOS</v>
      </c>
      <c r="D103" s="162">
        <f>$I$44</f>
        <v>27.5</v>
      </c>
      <c r="E103" s="161" t="s">
        <v>6</v>
      </c>
      <c r="F103" s="161">
        <f>$G$9</f>
        <v>1</v>
      </c>
      <c r="G103" s="163">
        <f>$H$9</f>
        <v>2.2000000000000002</v>
      </c>
      <c r="H103" s="164">
        <f t="shared" ref="H103:H111" si="12">(F103+G103)*D103</f>
        <v>88</v>
      </c>
      <c r="I103" s="165">
        <f t="shared" ref="I103:I111" si="13">($I$2+1)*H103</f>
        <v>114.4</v>
      </c>
      <c r="J103" s="166"/>
      <c r="L103" s="71"/>
      <c r="M103" s="71"/>
      <c r="N103" s="71"/>
      <c r="O103" s="71"/>
      <c r="P103" s="71"/>
      <c r="Q103" s="71"/>
      <c r="R103" s="71">
        <f t="shared" si="7"/>
        <v>0</v>
      </c>
      <c r="S103" s="71">
        <f t="shared" si="7"/>
        <v>0</v>
      </c>
      <c r="T103" s="71">
        <f t="shared" si="7"/>
        <v>0</v>
      </c>
    </row>
    <row r="104" spans="1:20">
      <c r="A104" s="155">
        <v>3</v>
      </c>
      <c r="B104" s="160" t="s">
        <v>72</v>
      </c>
      <c r="C104" s="161" t="str">
        <f t="shared" si="11"/>
        <v>REMOÇÃO DE ESTRUTURA DE MADEIRA</v>
      </c>
      <c r="D104" s="161">
        <v>0</v>
      </c>
      <c r="E104" s="161" t="s">
        <v>7</v>
      </c>
      <c r="F104" s="161">
        <f>$G$12</f>
        <v>2</v>
      </c>
      <c r="G104" s="163">
        <f>$H$12</f>
        <v>7.7</v>
      </c>
      <c r="H104" s="164">
        <f t="shared" si="12"/>
        <v>0</v>
      </c>
      <c r="I104" s="165">
        <f t="shared" si="13"/>
        <v>0</v>
      </c>
      <c r="J104" s="166"/>
      <c r="L104" s="71"/>
      <c r="M104" s="71"/>
      <c r="N104" s="71"/>
      <c r="O104" s="71"/>
      <c r="P104" s="71"/>
      <c r="Q104" s="71"/>
      <c r="R104" s="71">
        <f t="shared" si="7"/>
        <v>0</v>
      </c>
      <c r="S104" s="71">
        <f t="shared" si="7"/>
        <v>0</v>
      </c>
      <c r="T104" s="71">
        <f t="shared" si="7"/>
        <v>0</v>
      </c>
    </row>
    <row r="105" spans="1:20">
      <c r="A105" s="155">
        <v>4</v>
      </c>
      <c r="B105" s="160" t="s">
        <v>73</v>
      </c>
      <c r="C105" s="161" t="str">
        <f t="shared" si="11"/>
        <v>EMBOÇO NA PLATIBANDA</v>
      </c>
      <c r="D105" s="162">
        <f>D103*0.5</f>
        <v>13.75</v>
      </c>
      <c r="E105" s="161" t="s">
        <v>7</v>
      </c>
      <c r="F105" s="161">
        <f>$G$15</f>
        <v>13.5</v>
      </c>
      <c r="G105" s="163">
        <f>$H$15</f>
        <v>14</v>
      </c>
      <c r="H105" s="164">
        <f t="shared" si="12"/>
        <v>378.125</v>
      </c>
      <c r="I105" s="165">
        <f t="shared" si="13"/>
        <v>491.5625</v>
      </c>
      <c r="J105" s="166"/>
      <c r="L105" s="71"/>
      <c r="M105" s="71"/>
      <c r="N105" s="71"/>
      <c r="O105" s="71"/>
      <c r="P105" s="71"/>
      <c r="Q105" s="71"/>
      <c r="R105" s="71">
        <f t="shared" si="7"/>
        <v>0</v>
      </c>
      <c r="S105" s="71">
        <f t="shared" si="7"/>
        <v>0</v>
      </c>
      <c r="T105" s="71">
        <f t="shared" si="7"/>
        <v>0</v>
      </c>
    </row>
    <row r="106" spans="1:20">
      <c r="A106" s="155">
        <v>5</v>
      </c>
      <c r="B106" s="160" t="s">
        <v>74</v>
      </c>
      <c r="C106" s="161" t="str">
        <f t="shared" si="11"/>
        <v>MADEIRAMENTO</v>
      </c>
      <c r="D106" s="161">
        <v>0</v>
      </c>
      <c r="E106" s="161" t="s">
        <v>7</v>
      </c>
      <c r="F106" s="161">
        <f>$G$18</f>
        <v>7.5</v>
      </c>
      <c r="G106" s="163">
        <f>$H$18</f>
        <v>2.5</v>
      </c>
      <c r="H106" s="164">
        <f t="shared" si="12"/>
        <v>0</v>
      </c>
      <c r="I106" s="165">
        <f t="shared" si="13"/>
        <v>0</v>
      </c>
      <c r="J106" s="166"/>
    </row>
    <row r="107" spans="1:20">
      <c r="A107" s="155">
        <v>6</v>
      </c>
      <c r="B107" s="160" t="s">
        <v>75</v>
      </c>
      <c r="C107" s="161" t="str">
        <f t="shared" si="11"/>
        <v>BEIRAL EM FORRO DE PVC</v>
      </c>
      <c r="D107" s="162">
        <v>0</v>
      </c>
      <c r="E107" s="161" t="s">
        <v>7</v>
      </c>
      <c r="F107" s="161">
        <f>$G$21</f>
        <v>29</v>
      </c>
      <c r="G107" s="163">
        <f>$H$21</f>
        <v>20</v>
      </c>
      <c r="H107" s="164">
        <f t="shared" si="12"/>
        <v>0</v>
      </c>
      <c r="I107" s="165">
        <f t="shared" si="13"/>
        <v>0</v>
      </c>
      <c r="J107" s="166"/>
    </row>
    <row r="108" spans="1:20">
      <c r="A108" s="155">
        <v>7</v>
      </c>
      <c r="B108" s="160" t="s">
        <v>94</v>
      </c>
      <c r="C108" s="161" t="str">
        <f t="shared" si="11"/>
        <v>TELHA</v>
      </c>
      <c r="D108" s="162">
        <f>D102</f>
        <v>90.75</v>
      </c>
      <c r="E108" s="161" t="s">
        <v>7</v>
      </c>
      <c r="F108" s="161">
        <f>$G$24</f>
        <v>27.5</v>
      </c>
      <c r="G108" s="163">
        <f>$H$24</f>
        <v>3.5</v>
      </c>
      <c r="H108" s="164">
        <f t="shared" si="12"/>
        <v>2813.25</v>
      </c>
      <c r="I108" s="165">
        <f t="shared" si="13"/>
        <v>3657.2249999999999</v>
      </c>
      <c r="J108" s="166"/>
    </row>
    <row r="109" spans="1:20">
      <c r="A109" s="155">
        <v>8</v>
      </c>
      <c r="B109" s="160" t="s">
        <v>95</v>
      </c>
      <c r="C109" s="161" t="str">
        <f t="shared" si="11"/>
        <v>CUMEEIRA</v>
      </c>
      <c r="D109" s="161">
        <v>0</v>
      </c>
      <c r="E109" s="161" t="s">
        <v>6</v>
      </c>
      <c r="F109" s="161">
        <f>$G$27</f>
        <v>60</v>
      </c>
      <c r="G109" s="163">
        <f>$H$27</f>
        <v>2.2999999999999998</v>
      </c>
      <c r="H109" s="164">
        <f t="shared" si="12"/>
        <v>0</v>
      </c>
      <c r="I109" s="165">
        <f t="shared" si="13"/>
        <v>0</v>
      </c>
      <c r="J109" s="166"/>
    </row>
    <row r="110" spans="1:20">
      <c r="A110" s="155">
        <v>9</v>
      </c>
      <c r="B110" s="160" t="s">
        <v>96</v>
      </c>
      <c r="C110" s="161" t="str">
        <f t="shared" si="11"/>
        <v>RUFO</v>
      </c>
      <c r="D110" s="162">
        <f>D103</f>
        <v>27.5</v>
      </c>
      <c r="E110" s="161" t="s">
        <v>6</v>
      </c>
      <c r="F110" s="162">
        <f>$G$30</f>
        <v>40.5</v>
      </c>
      <c r="G110" s="196">
        <f>$H$30</f>
        <v>8</v>
      </c>
      <c r="H110" s="164">
        <f t="shared" si="12"/>
        <v>1333.75</v>
      </c>
      <c r="I110" s="165">
        <f t="shared" si="13"/>
        <v>1733.875</v>
      </c>
      <c r="J110" s="166"/>
    </row>
    <row r="111" spans="1:20">
      <c r="A111" s="155">
        <v>10</v>
      </c>
      <c r="B111" s="167" t="s">
        <v>97</v>
      </c>
      <c r="C111" s="151" t="str">
        <f t="shared" si="11"/>
        <v>CALHA</v>
      </c>
      <c r="D111" s="168">
        <f>J44</f>
        <v>17</v>
      </c>
      <c r="E111" s="151" t="s">
        <v>6</v>
      </c>
      <c r="F111" s="168">
        <f>$G$33</f>
        <v>75</v>
      </c>
      <c r="G111" s="197">
        <f>$H$33</f>
        <v>15</v>
      </c>
      <c r="H111" s="169">
        <f t="shared" si="12"/>
        <v>1530</v>
      </c>
      <c r="I111" s="170">
        <f t="shared" si="13"/>
        <v>1989</v>
      </c>
      <c r="J111" s="171"/>
    </row>
    <row r="112" spans="1:20">
      <c r="A112" s="141"/>
      <c r="B112" s="172"/>
      <c r="C112" s="172"/>
      <c r="D112" s="172"/>
      <c r="E112" s="172"/>
      <c r="F112" s="173"/>
      <c r="G112" s="173"/>
      <c r="H112" s="173"/>
      <c r="I112" s="173"/>
      <c r="J112" s="166"/>
    </row>
    <row r="113" spans="1:20">
      <c r="A113" s="141"/>
      <c r="B113" s="142" t="s">
        <v>66</v>
      </c>
      <c r="C113" s="143" t="s">
        <v>98</v>
      </c>
      <c r="D113" s="144" t="s">
        <v>78</v>
      </c>
      <c r="E113" s="144" t="s">
        <v>104</v>
      </c>
      <c r="F113" s="145" t="s">
        <v>106</v>
      </c>
      <c r="G113" s="145" t="s">
        <v>107</v>
      </c>
      <c r="H113" s="145" t="s">
        <v>108</v>
      </c>
      <c r="I113" s="146" t="s">
        <v>108</v>
      </c>
      <c r="J113" s="147" t="s">
        <v>80</v>
      </c>
      <c r="L113" s="71"/>
      <c r="M113" s="71"/>
      <c r="N113" s="71"/>
      <c r="O113" s="71"/>
      <c r="P113" s="71"/>
      <c r="Q113" s="71"/>
      <c r="R113" s="71">
        <f t="shared" ref="R113:T131" si="14">R87</f>
        <v>0</v>
      </c>
      <c r="S113" s="71">
        <f t="shared" si="14"/>
        <v>0</v>
      </c>
      <c r="T113" s="71">
        <f t="shared" si="14"/>
        <v>0</v>
      </c>
    </row>
    <row r="114" spans="1:20">
      <c r="A114" s="141"/>
      <c r="B114" s="148">
        <v>5</v>
      </c>
      <c r="C114" s="174" t="str">
        <f>VLOOKUP(B114,$B$41:$J$57,2)</f>
        <v>HALL [ENTRADA PRINCIPAL]</v>
      </c>
      <c r="D114" s="150"/>
      <c r="E114" s="151"/>
      <c r="F114" s="152" t="s">
        <v>105</v>
      </c>
      <c r="G114" s="152" t="s">
        <v>105</v>
      </c>
      <c r="H114" s="152" t="s">
        <v>109</v>
      </c>
      <c r="I114" s="153" t="s">
        <v>110</v>
      </c>
      <c r="J114" s="154">
        <f>SUM(I115:I124)</f>
        <v>3009.3505</v>
      </c>
      <c r="L114" s="71"/>
      <c r="M114" s="71"/>
      <c r="N114" s="71"/>
      <c r="O114" s="71"/>
      <c r="P114" s="71"/>
      <c r="Q114" s="71"/>
      <c r="R114" s="71">
        <f t="shared" si="14"/>
        <v>0</v>
      </c>
      <c r="S114" s="71">
        <f t="shared" si="14"/>
        <v>0</v>
      </c>
      <c r="T114" s="71">
        <f t="shared" si="14"/>
        <v>0</v>
      </c>
    </row>
    <row r="115" spans="1:20">
      <c r="A115" s="155">
        <v>1</v>
      </c>
      <c r="B115" s="142" t="s">
        <v>70</v>
      </c>
      <c r="C115" s="144" t="str">
        <f t="shared" ref="C115:C124" si="15">VLOOKUP(A115,$A$5:$J$33,3)</f>
        <v>REMOÇÃO DE TELHAS</v>
      </c>
      <c r="D115" s="156">
        <f>$F$45</f>
        <v>24.939999999999998</v>
      </c>
      <c r="E115" s="144" t="s">
        <v>7</v>
      </c>
      <c r="F115" s="144">
        <f>$G$6</f>
        <v>1</v>
      </c>
      <c r="G115" s="145">
        <f>$H$6</f>
        <v>2</v>
      </c>
      <c r="H115" s="157">
        <f>(G115+F115)*D115</f>
        <v>74.819999999999993</v>
      </c>
      <c r="I115" s="158">
        <f>($I$2+1)*H115</f>
        <v>97.265999999999991</v>
      </c>
      <c r="J115" s="159"/>
      <c r="L115" s="72"/>
      <c r="M115" s="72"/>
      <c r="N115" s="72"/>
      <c r="O115" s="72"/>
      <c r="P115" s="72"/>
      <c r="Q115" s="72"/>
      <c r="R115" s="72">
        <f t="shared" si="14"/>
        <v>0</v>
      </c>
      <c r="S115" s="72">
        <f t="shared" si="14"/>
        <v>0</v>
      </c>
      <c r="T115" s="72">
        <f t="shared" si="14"/>
        <v>0</v>
      </c>
    </row>
    <row r="116" spans="1:20">
      <c r="A116" s="155">
        <v>2</v>
      </c>
      <c r="B116" s="160" t="s">
        <v>71</v>
      </c>
      <c r="C116" s="161" t="str">
        <f t="shared" si="15"/>
        <v>REMOÇÃO DE CALHAS E RUFOS</v>
      </c>
      <c r="D116" s="162">
        <f>$I$45</f>
        <v>16.5</v>
      </c>
      <c r="E116" s="161" t="s">
        <v>6</v>
      </c>
      <c r="F116" s="161">
        <f>$G$9</f>
        <v>1</v>
      </c>
      <c r="G116" s="163">
        <f>$H$9</f>
        <v>2.2000000000000002</v>
      </c>
      <c r="H116" s="164">
        <f t="shared" ref="H116:H124" si="16">(F116+G116)*D116</f>
        <v>52.800000000000004</v>
      </c>
      <c r="I116" s="165">
        <f t="shared" ref="I116:I124" si="17">($I$2+1)*H116</f>
        <v>68.640000000000015</v>
      </c>
      <c r="J116" s="166"/>
      <c r="L116" s="72"/>
      <c r="M116" s="72"/>
      <c r="N116" s="72"/>
      <c r="O116" s="72"/>
      <c r="P116" s="72"/>
      <c r="Q116" s="72"/>
      <c r="R116" s="72">
        <f t="shared" si="14"/>
        <v>0</v>
      </c>
      <c r="S116" s="72">
        <f t="shared" si="14"/>
        <v>0</v>
      </c>
      <c r="T116" s="72">
        <f t="shared" si="14"/>
        <v>0</v>
      </c>
    </row>
    <row r="117" spans="1:20">
      <c r="A117" s="155">
        <v>3</v>
      </c>
      <c r="B117" s="160" t="s">
        <v>72</v>
      </c>
      <c r="C117" s="161" t="str">
        <f t="shared" si="15"/>
        <v>REMOÇÃO DE ESTRUTURA DE MADEIRA</v>
      </c>
      <c r="D117" s="161">
        <v>0</v>
      </c>
      <c r="E117" s="161" t="s">
        <v>7</v>
      </c>
      <c r="F117" s="161">
        <f>$G$12</f>
        <v>2</v>
      </c>
      <c r="G117" s="163">
        <f>$H$12</f>
        <v>7.7</v>
      </c>
      <c r="H117" s="164">
        <f t="shared" si="16"/>
        <v>0</v>
      </c>
      <c r="I117" s="165">
        <f t="shared" si="17"/>
        <v>0</v>
      </c>
      <c r="J117" s="166"/>
      <c r="L117" s="72"/>
      <c r="M117" s="72"/>
      <c r="N117" s="72"/>
      <c r="O117" s="72"/>
      <c r="P117" s="72"/>
      <c r="Q117" s="72"/>
      <c r="R117" s="72">
        <f t="shared" si="14"/>
        <v>0</v>
      </c>
      <c r="S117" s="72">
        <f t="shared" si="14"/>
        <v>0</v>
      </c>
      <c r="T117" s="72">
        <f t="shared" si="14"/>
        <v>0</v>
      </c>
    </row>
    <row r="118" spans="1:20">
      <c r="A118" s="155">
        <v>4</v>
      </c>
      <c r="B118" s="160" t="s">
        <v>73</v>
      </c>
      <c r="C118" s="161" t="str">
        <f t="shared" si="15"/>
        <v>EMBOÇO NA PLATIBANDA</v>
      </c>
      <c r="D118" s="162">
        <f>D116*0.5</f>
        <v>8.25</v>
      </c>
      <c r="E118" s="161" t="s">
        <v>7</v>
      </c>
      <c r="F118" s="161">
        <f>$G$15</f>
        <v>13.5</v>
      </c>
      <c r="G118" s="163">
        <f>$H$15</f>
        <v>14</v>
      </c>
      <c r="H118" s="164">
        <f t="shared" si="16"/>
        <v>226.875</v>
      </c>
      <c r="I118" s="165">
        <f t="shared" si="17"/>
        <v>294.9375</v>
      </c>
      <c r="J118" s="166"/>
      <c r="L118" s="72"/>
      <c r="M118" s="72"/>
      <c r="N118" s="72"/>
      <c r="O118" s="72"/>
      <c r="P118" s="72"/>
      <c r="Q118" s="72"/>
      <c r="R118" s="72">
        <f t="shared" si="14"/>
        <v>0</v>
      </c>
      <c r="S118" s="72">
        <f t="shared" si="14"/>
        <v>0</v>
      </c>
      <c r="T118" s="72">
        <f t="shared" si="14"/>
        <v>0</v>
      </c>
    </row>
    <row r="119" spans="1:20">
      <c r="A119" s="155">
        <v>5</v>
      </c>
      <c r="B119" s="160" t="s">
        <v>74</v>
      </c>
      <c r="C119" s="161" t="str">
        <f t="shared" si="15"/>
        <v>MADEIRAMENTO</v>
      </c>
      <c r="D119" s="161">
        <v>0</v>
      </c>
      <c r="E119" s="161" t="s">
        <v>7</v>
      </c>
      <c r="F119" s="161">
        <f>$G$18</f>
        <v>7.5</v>
      </c>
      <c r="G119" s="163">
        <f>$H$18</f>
        <v>2.5</v>
      </c>
      <c r="H119" s="164">
        <f t="shared" si="16"/>
        <v>0</v>
      </c>
      <c r="I119" s="165">
        <f t="shared" si="17"/>
        <v>0</v>
      </c>
      <c r="J119" s="166"/>
      <c r="L119" s="71"/>
      <c r="M119" s="71"/>
      <c r="N119" s="71"/>
      <c r="O119" s="71"/>
      <c r="P119" s="71"/>
      <c r="Q119" s="71"/>
      <c r="R119" s="71">
        <f t="shared" si="14"/>
        <v>0</v>
      </c>
      <c r="S119" s="71">
        <f t="shared" si="14"/>
        <v>0</v>
      </c>
      <c r="T119" s="71">
        <f t="shared" si="14"/>
        <v>0</v>
      </c>
    </row>
    <row r="120" spans="1:20">
      <c r="A120" s="155">
        <v>6</v>
      </c>
      <c r="B120" s="160" t="s">
        <v>75</v>
      </c>
      <c r="C120" s="161" t="str">
        <f t="shared" si="15"/>
        <v>BEIRAL EM FORRO DE PVC</v>
      </c>
      <c r="D120" s="162">
        <v>0</v>
      </c>
      <c r="E120" s="161" t="s">
        <v>7</v>
      </c>
      <c r="F120" s="161">
        <f>$G$21</f>
        <v>29</v>
      </c>
      <c r="G120" s="163">
        <f>$H$21</f>
        <v>20</v>
      </c>
      <c r="H120" s="164">
        <f t="shared" si="16"/>
        <v>0</v>
      </c>
      <c r="I120" s="165">
        <f t="shared" si="17"/>
        <v>0</v>
      </c>
      <c r="J120" s="166"/>
      <c r="L120" s="71"/>
      <c r="M120" s="71"/>
      <c r="N120" s="71"/>
      <c r="O120" s="71"/>
      <c r="P120" s="71"/>
      <c r="Q120" s="71"/>
      <c r="R120" s="71">
        <f t="shared" si="14"/>
        <v>0</v>
      </c>
      <c r="S120" s="71">
        <f t="shared" si="14"/>
        <v>0</v>
      </c>
      <c r="T120" s="71">
        <f t="shared" si="14"/>
        <v>0</v>
      </c>
    </row>
    <row r="121" spans="1:20">
      <c r="A121" s="155">
        <v>7</v>
      </c>
      <c r="B121" s="160" t="s">
        <v>94</v>
      </c>
      <c r="C121" s="161" t="str">
        <f t="shared" si="15"/>
        <v>TELHA</v>
      </c>
      <c r="D121" s="162">
        <f>D115</f>
        <v>24.939999999999998</v>
      </c>
      <c r="E121" s="161" t="s">
        <v>7</v>
      </c>
      <c r="F121" s="161">
        <f>$G$24</f>
        <v>27.5</v>
      </c>
      <c r="G121" s="163">
        <f>$H$24</f>
        <v>3.5</v>
      </c>
      <c r="H121" s="164">
        <f t="shared" si="16"/>
        <v>773.13999999999987</v>
      </c>
      <c r="I121" s="165">
        <f t="shared" si="17"/>
        <v>1005.0819999999999</v>
      </c>
      <c r="J121" s="166"/>
      <c r="L121" s="71"/>
      <c r="M121" s="71"/>
      <c r="N121" s="71"/>
      <c r="O121" s="71"/>
      <c r="P121" s="71"/>
      <c r="Q121" s="71"/>
      <c r="R121" s="71">
        <f t="shared" si="14"/>
        <v>0</v>
      </c>
      <c r="S121" s="71">
        <f t="shared" si="14"/>
        <v>0</v>
      </c>
      <c r="T121" s="71">
        <f t="shared" si="14"/>
        <v>0</v>
      </c>
    </row>
    <row r="122" spans="1:20">
      <c r="A122" s="155">
        <v>8</v>
      </c>
      <c r="B122" s="160" t="s">
        <v>95</v>
      </c>
      <c r="C122" s="161" t="str">
        <f t="shared" si="15"/>
        <v>CUMEEIRA</v>
      </c>
      <c r="D122" s="161">
        <v>0</v>
      </c>
      <c r="E122" s="161" t="s">
        <v>6</v>
      </c>
      <c r="F122" s="161">
        <f>$G$27</f>
        <v>60</v>
      </c>
      <c r="G122" s="163">
        <f>$H$27</f>
        <v>2.2999999999999998</v>
      </c>
      <c r="H122" s="164">
        <f t="shared" si="16"/>
        <v>0</v>
      </c>
      <c r="I122" s="165">
        <f t="shared" si="17"/>
        <v>0</v>
      </c>
      <c r="J122" s="166"/>
      <c r="L122" s="71"/>
      <c r="M122" s="71"/>
      <c r="N122" s="71"/>
      <c r="O122" s="71"/>
      <c r="P122" s="71"/>
      <c r="Q122" s="71"/>
      <c r="R122" s="71">
        <f t="shared" si="14"/>
        <v>0</v>
      </c>
      <c r="S122" s="71">
        <f t="shared" si="14"/>
        <v>0</v>
      </c>
      <c r="T122" s="71">
        <f t="shared" si="14"/>
        <v>0</v>
      </c>
    </row>
    <row r="123" spans="1:20">
      <c r="A123" s="155">
        <v>9</v>
      </c>
      <c r="B123" s="160" t="s">
        <v>96</v>
      </c>
      <c r="C123" s="161" t="str">
        <f t="shared" si="15"/>
        <v>RUFO</v>
      </c>
      <c r="D123" s="162">
        <f>D116</f>
        <v>16.5</v>
      </c>
      <c r="E123" s="161" t="s">
        <v>6</v>
      </c>
      <c r="F123" s="162">
        <f>$G$30</f>
        <v>40.5</v>
      </c>
      <c r="G123" s="196">
        <f>$H$30</f>
        <v>8</v>
      </c>
      <c r="H123" s="164">
        <f t="shared" si="16"/>
        <v>800.25</v>
      </c>
      <c r="I123" s="165">
        <f t="shared" si="17"/>
        <v>1040.325</v>
      </c>
      <c r="J123" s="166"/>
      <c r="L123" s="71"/>
      <c r="M123" s="71"/>
      <c r="N123" s="71"/>
      <c r="O123" s="71"/>
      <c r="P123" s="71"/>
      <c r="Q123" s="71"/>
      <c r="R123" s="71">
        <f t="shared" si="14"/>
        <v>0</v>
      </c>
      <c r="S123" s="71">
        <f t="shared" si="14"/>
        <v>0</v>
      </c>
      <c r="T123" s="71">
        <f t="shared" si="14"/>
        <v>0</v>
      </c>
    </row>
    <row r="124" spans="1:20">
      <c r="A124" s="155">
        <v>10</v>
      </c>
      <c r="B124" s="167" t="s">
        <v>97</v>
      </c>
      <c r="C124" s="151" t="str">
        <f t="shared" si="15"/>
        <v>CALHA</v>
      </c>
      <c r="D124" s="168">
        <f>J45</f>
        <v>4.3</v>
      </c>
      <c r="E124" s="151" t="s">
        <v>6</v>
      </c>
      <c r="F124" s="168">
        <f>$G$33</f>
        <v>75</v>
      </c>
      <c r="G124" s="197">
        <f>$H$33</f>
        <v>15</v>
      </c>
      <c r="H124" s="169">
        <f t="shared" si="16"/>
        <v>387</v>
      </c>
      <c r="I124" s="170">
        <f t="shared" si="17"/>
        <v>503.1</v>
      </c>
      <c r="J124" s="171"/>
      <c r="L124" s="71"/>
      <c r="M124" s="71"/>
      <c r="N124" s="71"/>
      <c r="O124" s="71"/>
      <c r="P124" s="71"/>
      <c r="Q124" s="71"/>
      <c r="R124" s="71">
        <f t="shared" si="14"/>
        <v>0</v>
      </c>
      <c r="S124" s="71">
        <f t="shared" si="14"/>
        <v>0</v>
      </c>
      <c r="T124" s="71">
        <f t="shared" si="14"/>
        <v>0</v>
      </c>
    </row>
    <row r="125" spans="1:20">
      <c r="A125" s="141"/>
      <c r="B125" s="172"/>
      <c r="C125" s="172"/>
      <c r="D125" s="172"/>
      <c r="E125" s="172"/>
      <c r="F125" s="173"/>
      <c r="G125" s="173"/>
      <c r="H125" s="173"/>
      <c r="I125" s="173"/>
      <c r="J125" s="166"/>
      <c r="L125" s="71"/>
      <c r="M125" s="71"/>
      <c r="N125" s="71"/>
      <c r="O125" s="71"/>
      <c r="P125" s="71"/>
      <c r="Q125" s="71"/>
      <c r="R125" s="71">
        <f t="shared" si="14"/>
        <v>0</v>
      </c>
      <c r="S125" s="71">
        <f t="shared" si="14"/>
        <v>0</v>
      </c>
      <c r="T125" s="71">
        <f t="shared" si="14"/>
        <v>0</v>
      </c>
    </row>
    <row r="126" spans="1:20">
      <c r="A126" s="141"/>
      <c r="B126" s="142" t="s">
        <v>66</v>
      </c>
      <c r="C126" s="143" t="s">
        <v>98</v>
      </c>
      <c r="D126" s="144" t="s">
        <v>78</v>
      </c>
      <c r="E126" s="144" t="s">
        <v>104</v>
      </c>
      <c r="F126" s="145" t="s">
        <v>106</v>
      </c>
      <c r="G126" s="145" t="s">
        <v>107</v>
      </c>
      <c r="H126" s="145" t="s">
        <v>108</v>
      </c>
      <c r="I126" s="146" t="s">
        <v>108</v>
      </c>
      <c r="J126" s="147" t="s">
        <v>80</v>
      </c>
      <c r="L126" s="71"/>
      <c r="M126" s="71"/>
      <c r="N126" s="71"/>
      <c r="O126" s="71"/>
      <c r="P126" s="71"/>
      <c r="Q126" s="71"/>
      <c r="R126" s="71">
        <f t="shared" si="14"/>
        <v>0</v>
      </c>
      <c r="S126" s="71">
        <f t="shared" si="14"/>
        <v>0</v>
      </c>
      <c r="T126" s="71">
        <f t="shared" si="14"/>
        <v>0</v>
      </c>
    </row>
    <row r="127" spans="1:20">
      <c r="A127" s="141"/>
      <c r="B127" s="148">
        <v>6</v>
      </c>
      <c r="C127" s="174" t="str">
        <f>VLOOKUP(B127,$B$41:$J$57,2)</f>
        <v>PROPAV [ANEXO HALL]</v>
      </c>
      <c r="D127" s="150"/>
      <c r="E127" s="151"/>
      <c r="F127" s="152" t="s">
        <v>105</v>
      </c>
      <c r="G127" s="152" t="s">
        <v>105</v>
      </c>
      <c r="H127" s="152" t="s">
        <v>109</v>
      </c>
      <c r="I127" s="153" t="s">
        <v>110</v>
      </c>
      <c r="J127" s="154">
        <f>SUM(I128:I137)</f>
        <v>5561.2440000000006</v>
      </c>
      <c r="L127" s="71"/>
      <c r="M127" s="71"/>
      <c r="N127" s="71"/>
      <c r="O127" s="71"/>
      <c r="P127" s="71"/>
      <c r="Q127" s="71"/>
      <c r="R127" s="71">
        <f t="shared" si="14"/>
        <v>0</v>
      </c>
      <c r="S127" s="71">
        <f t="shared" si="14"/>
        <v>0</v>
      </c>
      <c r="T127" s="71">
        <f t="shared" si="14"/>
        <v>0</v>
      </c>
    </row>
    <row r="128" spans="1:20">
      <c r="A128" s="141">
        <v>1</v>
      </c>
      <c r="B128" s="142" t="s">
        <v>70</v>
      </c>
      <c r="C128" s="144" t="str">
        <f t="shared" ref="C128:C137" si="18">VLOOKUP(A128,$A$5:$J$33,3)</f>
        <v>REMOÇÃO DE TELHAS</v>
      </c>
      <c r="D128" s="156">
        <f>$F$46</f>
        <v>34.799999999999997</v>
      </c>
      <c r="E128" s="144" t="s">
        <v>7</v>
      </c>
      <c r="F128" s="144">
        <f>$G$6</f>
        <v>1</v>
      </c>
      <c r="G128" s="145">
        <f>$H$6</f>
        <v>2</v>
      </c>
      <c r="H128" s="157">
        <f>(G128+F128)*D128</f>
        <v>104.39999999999999</v>
      </c>
      <c r="I128" s="158">
        <f>($I$2+1)*H128</f>
        <v>135.72</v>
      </c>
      <c r="J128" s="159"/>
      <c r="L128" s="71"/>
      <c r="M128" s="71"/>
      <c r="N128" s="71"/>
      <c r="O128" s="71"/>
      <c r="P128" s="71"/>
      <c r="Q128" s="71"/>
      <c r="R128" s="71">
        <f t="shared" si="14"/>
        <v>0</v>
      </c>
      <c r="S128" s="71">
        <f t="shared" si="14"/>
        <v>0</v>
      </c>
      <c r="T128" s="71">
        <f t="shared" si="14"/>
        <v>0</v>
      </c>
    </row>
    <row r="129" spans="1:20">
      <c r="A129" s="141">
        <v>2</v>
      </c>
      <c r="B129" s="160" t="s">
        <v>71</v>
      </c>
      <c r="C129" s="161" t="str">
        <f t="shared" si="18"/>
        <v>REMOÇÃO DE CALHAS E RUFOS</v>
      </c>
      <c r="D129" s="162">
        <f>$I$46</f>
        <v>23.6</v>
      </c>
      <c r="E129" s="161" t="s">
        <v>6</v>
      </c>
      <c r="F129" s="161">
        <f>$G$9</f>
        <v>1</v>
      </c>
      <c r="G129" s="163">
        <f>$H$9</f>
        <v>2.2000000000000002</v>
      </c>
      <c r="H129" s="164">
        <f t="shared" ref="H129:H137" si="19">(F129+G129)*D129</f>
        <v>75.52000000000001</v>
      </c>
      <c r="I129" s="165">
        <f t="shared" ref="I129:I137" si="20">($I$2+1)*H129</f>
        <v>98.176000000000016</v>
      </c>
      <c r="J129" s="166"/>
      <c r="L129" s="71"/>
      <c r="M129" s="71"/>
      <c r="N129" s="71"/>
      <c r="O129" s="71"/>
      <c r="P129" s="71"/>
      <c r="Q129" s="71"/>
      <c r="R129" s="71">
        <f t="shared" si="14"/>
        <v>0</v>
      </c>
      <c r="S129" s="71">
        <f t="shared" si="14"/>
        <v>0</v>
      </c>
      <c r="T129" s="71">
        <f t="shared" si="14"/>
        <v>0</v>
      </c>
    </row>
    <row r="130" spans="1:20">
      <c r="A130" s="141">
        <v>3</v>
      </c>
      <c r="B130" s="160" t="s">
        <v>72</v>
      </c>
      <c r="C130" s="161" t="str">
        <f t="shared" si="18"/>
        <v>REMOÇÃO DE ESTRUTURA DE MADEIRA</v>
      </c>
      <c r="D130" s="162">
        <f>D128</f>
        <v>34.799999999999997</v>
      </c>
      <c r="E130" s="161" t="s">
        <v>7</v>
      </c>
      <c r="F130" s="161">
        <f>$G$12</f>
        <v>2</v>
      </c>
      <c r="G130" s="163">
        <f>$H$12</f>
        <v>7.7</v>
      </c>
      <c r="H130" s="164">
        <f t="shared" si="19"/>
        <v>337.55999999999995</v>
      </c>
      <c r="I130" s="165">
        <f t="shared" si="20"/>
        <v>438.82799999999992</v>
      </c>
      <c r="J130" s="166"/>
      <c r="L130" s="71"/>
      <c r="M130" s="71"/>
      <c r="N130" s="71"/>
      <c r="O130" s="71"/>
      <c r="P130" s="71"/>
      <c r="Q130" s="71"/>
      <c r="R130" s="71">
        <f t="shared" si="14"/>
        <v>0</v>
      </c>
      <c r="S130" s="71">
        <f t="shared" si="14"/>
        <v>0</v>
      </c>
      <c r="T130" s="71">
        <f t="shared" si="14"/>
        <v>0</v>
      </c>
    </row>
    <row r="131" spans="1:20">
      <c r="A131" s="141">
        <v>4</v>
      </c>
      <c r="B131" s="160" t="s">
        <v>73</v>
      </c>
      <c r="C131" s="161" t="str">
        <f t="shared" si="18"/>
        <v>EMBOÇO NA PLATIBANDA</v>
      </c>
      <c r="D131" s="162">
        <f>D129</f>
        <v>23.6</v>
      </c>
      <c r="E131" s="161" t="s">
        <v>7</v>
      </c>
      <c r="F131" s="161">
        <f>$G$15</f>
        <v>13.5</v>
      </c>
      <c r="G131" s="163">
        <f>$H$15</f>
        <v>14</v>
      </c>
      <c r="H131" s="164">
        <f t="shared" si="19"/>
        <v>649</v>
      </c>
      <c r="I131" s="165">
        <f t="shared" si="20"/>
        <v>843.7</v>
      </c>
      <c r="J131" s="166"/>
      <c r="L131" s="71"/>
      <c r="M131" s="71"/>
      <c r="N131" s="71"/>
      <c r="O131" s="71"/>
      <c r="P131" s="71"/>
      <c r="Q131" s="71"/>
      <c r="R131" s="71">
        <f t="shared" si="14"/>
        <v>0</v>
      </c>
      <c r="S131" s="71">
        <f t="shared" si="14"/>
        <v>0</v>
      </c>
      <c r="T131" s="71">
        <f t="shared" si="14"/>
        <v>0</v>
      </c>
    </row>
    <row r="132" spans="1:20">
      <c r="A132" s="141">
        <v>5</v>
      </c>
      <c r="B132" s="160" t="s">
        <v>74</v>
      </c>
      <c r="C132" s="161" t="str">
        <f t="shared" si="18"/>
        <v>MADEIRAMENTO</v>
      </c>
      <c r="D132" s="162">
        <f>D128</f>
        <v>34.799999999999997</v>
      </c>
      <c r="E132" s="161" t="s">
        <v>7</v>
      </c>
      <c r="F132" s="161">
        <f>$G$18</f>
        <v>7.5</v>
      </c>
      <c r="G132" s="163">
        <f>$H$18</f>
        <v>2.5</v>
      </c>
      <c r="H132" s="164">
        <f t="shared" si="19"/>
        <v>348</v>
      </c>
      <c r="I132" s="165">
        <f t="shared" si="20"/>
        <v>452.40000000000003</v>
      </c>
      <c r="J132" s="166"/>
    </row>
    <row r="133" spans="1:20">
      <c r="A133" s="141">
        <v>6</v>
      </c>
      <c r="B133" s="160" t="s">
        <v>75</v>
      </c>
      <c r="C133" s="161" t="str">
        <f t="shared" si="18"/>
        <v>BEIRAL EM FORRO DE PVC</v>
      </c>
      <c r="D133" s="162">
        <v>0</v>
      </c>
      <c r="E133" s="161" t="s">
        <v>7</v>
      </c>
      <c r="F133" s="161">
        <f>$G$21</f>
        <v>29</v>
      </c>
      <c r="G133" s="163">
        <f>$H$21</f>
        <v>20</v>
      </c>
      <c r="H133" s="164">
        <f t="shared" si="19"/>
        <v>0</v>
      </c>
      <c r="I133" s="165">
        <f t="shared" si="20"/>
        <v>0</v>
      </c>
      <c r="J133" s="166"/>
    </row>
    <row r="134" spans="1:20">
      <c r="A134" s="141">
        <v>7</v>
      </c>
      <c r="B134" s="160" t="s">
        <v>94</v>
      </c>
      <c r="C134" s="161" t="str">
        <f t="shared" si="18"/>
        <v>TELHA</v>
      </c>
      <c r="D134" s="162">
        <f>D128</f>
        <v>34.799999999999997</v>
      </c>
      <c r="E134" s="161" t="s">
        <v>7</v>
      </c>
      <c r="F134" s="161">
        <f>$G$24</f>
        <v>27.5</v>
      </c>
      <c r="G134" s="163">
        <f>$H$24</f>
        <v>3.5</v>
      </c>
      <c r="H134" s="164">
        <f t="shared" si="19"/>
        <v>1078.8</v>
      </c>
      <c r="I134" s="165">
        <f t="shared" si="20"/>
        <v>1402.44</v>
      </c>
      <c r="J134" s="166"/>
    </row>
    <row r="135" spans="1:20">
      <c r="A135" s="141">
        <v>8</v>
      </c>
      <c r="B135" s="160" t="s">
        <v>95</v>
      </c>
      <c r="C135" s="161" t="str">
        <f t="shared" si="18"/>
        <v>CUMEEIRA</v>
      </c>
      <c r="D135" s="161">
        <v>0</v>
      </c>
      <c r="E135" s="161" t="s">
        <v>6</v>
      </c>
      <c r="F135" s="161">
        <f>$G$27</f>
        <v>60</v>
      </c>
      <c r="G135" s="163">
        <f>$H$27</f>
        <v>2.2999999999999998</v>
      </c>
      <c r="H135" s="164">
        <f t="shared" si="19"/>
        <v>0</v>
      </c>
      <c r="I135" s="165">
        <f t="shared" si="20"/>
        <v>0</v>
      </c>
      <c r="J135" s="166"/>
    </row>
    <row r="136" spans="1:20">
      <c r="A136" s="141">
        <v>9</v>
      </c>
      <c r="B136" s="160" t="s">
        <v>96</v>
      </c>
      <c r="C136" s="161" t="str">
        <f t="shared" si="18"/>
        <v>RUFO</v>
      </c>
      <c r="D136" s="162">
        <f>D129</f>
        <v>23.6</v>
      </c>
      <c r="E136" s="161" t="s">
        <v>6</v>
      </c>
      <c r="F136" s="162">
        <f>$G$30</f>
        <v>40.5</v>
      </c>
      <c r="G136" s="196">
        <f>$H$30</f>
        <v>8</v>
      </c>
      <c r="H136" s="164">
        <f t="shared" si="19"/>
        <v>1144.6000000000001</v>
      </c>
      <c r="I136" s="165">
        <f t="shared" si="20"/>
        <v>1487.9800000000002</v>
      </c>
      <c r="J136" s="166"/>
    </row>
    <row r="137" spans="1:20">
      <c r="A137" s="141">
        <v>10</v>
      </c>
      <c r="B137" s="167" t="s">
        <v>97</v>
      </c>
      <c r="C137" s="151" t="str">
        <f t="shared" si="18"/>
        <v>CALHA</v>
      </c>
      <c r="D137" s="168">
        <f>J46</f>
        <v>6</v>
      </c>
      <c r="E137" s="151" t="s">
        <v>6</v>
      </c>
      <c r="F137" s="168">
        <f>$G$33</f>
        <v>75</v>
      </c>
      <c r="G137" s="197">
        <f>$H$33</f>
        <v>15</v>
      </c>
      <c r="H137" s="169">
        <f t="shared" si="19"/>
        <v>540</v>
      </c>
      <c r="I137" s="170">
        <f t="shared" si="20"/>
        <v>702</v>
      </c>
      <c r="J137" s="171"/>
    </row>
    <row r="138" spans="1:20">
      <c r="A138" s="141"/>
      <c r="B138" s="172"/>
      <c r="C138" s="172"/>
      <c r="D138" s="172"/>
      <c r="E138" s="172"/>
      <c r="F138" s="173"/>
      <c r="G138" s="173"/>
      <c r="H138" s="173"/>
      <c r="I138" s="173"/>
      <c r="J138" s="166"/>
    </row>
    <row r="139" spans="1:20">
      <c r="A139" s="141"/>
      <c r="B139" s="142" t="s">
        <v>66</v>
      </c>
      <c r="C139" s="143" t="s">
        <v>98</v>
      </c>
      <c r="D139" s="144" t="s">
        <v>78</v>
      </c>
      <c r="E139" s="144" t="s">
        <v>104</v>
      </c>
      <c r="F139" s="145" t="s">
        <v>106</v>
      </c>
      <c r="G139" s="145" t="s">
        <v>107</v>
      </c>
      <c r="H139" s="145" t="s">
        <v>108</v>
      </c>
      <c r="I139" s="146" t="s">
        <v>108</v>
      </c>
      <c r="J139" s="147" t="s">
        <v>80</v>
      </c>
    </row>
    <row r="140" spans="1:20">
      <c r="A140" s="141"/>
      <c r="B140" s="148">
        <v>7</v>
      </c>
      <c r="C140" s="174" t="str">
        <f>VLOOKUP(B140,$B$41:$J$57,2)</f>
        <v>VICE DIREÇÃO [ANEXO PROPAV]</v>
      </c>
      <c r="D140" s="150"/>
      <c r="E140" s="151"/>
      <c r="F140" s="152" t="s">
        <v>105</v>
      </c>
      <c r="G140" s="152" t="s">
        <v>105</v>
      </c>
      <c r="H140" s="152" t="s">
        <v>109</v>
      </c>
      <c r="I140" s="153" t="s">
        <v>110</v>
      </c>
      <c r="J140" s="154">
        <f>SUM(I141:I150)</f>
        <v>5062.6679999999997</v>
      </c>
    </row>
    <row r="141" spans="1:20">
      <c r="A141" s="141">
        <v>1</v>
      </c>
      <c r="B141" s="142" t="s">
        <v>70</v>
      </c>
      <c r="C141" s="144" t="str">
        <f t="shared" ref="C141:C150" si="21">VLOOKUP(A141,$A$5:$J$33,3)</f>
        <v>REMOÇÃO DE TELHAS</v>
      </c>
      <c r="D141" s="156">
        <f>$F$47</f>
        <v>34</v>
      </c>
      <c r="E141" s="144" t="s">
        <v>7</v>
      </c>
      <c r="F141" s="144">
        <f>$G$6</f>
        <v>1</v>
      </c>
      <c r="G141" s="145">
        <f>$H$6</f>
        <v>2</v>
      </c>
      <c r="H141" s="157">
        <f>(G141+F141)*D141</f>
        <v>102</v>
      </c>
      <c r="I141" s="158">
        <f>($I$2+1)*H141</f>
        <v>132.6</v>
      </c>
      <c r="J141" s="159"/>
    </row>
    <row r="142" spans="1:20">
      <c r="A142" s="141">
        <v>2</v>
      </c>
      <c r="B142" s="160" t="s">
        <v>71</v>
      </c>
      <c r="C142" s="161" t="str">
        <f t="shared" si="21"/>
        <v>REMOÇÃO DE CALHAS E RUFOS</v>
      </c>
      <c r="D142" s="162">
        <f>$I$47</f>
        <v>16.8</v>
      </c>
      <c r="E142" s="161" t="s">
        <v>6</v>
      </c>
      <c r="F142" s="161">
        <f>$G$9</f>
        <v>1</v>
      </c>
      <c r="G142" s="163">
        <f>$H$9</f>
        <v>2.2000000000000002</v>
      </c>
      <c r="H142" s="164">
        <f t="shared" ref="H142:H150" si="22">(F142+G142)*D142</f>
        <v>53.760000000000005</v>
      </c>
      <c r="I142" s="165">
        <f t="shared" ref="I142:I150" si="23">($I$2+1)*H142</f>
        <v>69.888000000000005</v>
      </c>
      <c r="J142" s="166"/>
    </row>
    <row r="143" spans="1:20">
      <c r="A143" s="141">
        <v>3</v>
      </c>
      <c r="B143" s="160" t="s">
        <v>72</v>
      </c>
      <c r="C143" s="161" t="str">
        <f t="shared" si="21"/>
        <v>REMOÇÃO DE ESTRUTURA DE MADEIRA</v>
      </c>
      <c r="D143" s="162">
        <f>D141</f>
        <v>34</v>
      </c>
      <c r="E143" s="161" t="s">
        <v>7</v>
      </c>
      <c r="F143" s="161">
        <f>$G$12</f>
        <v>2</v>
      </c>
      <c r="G143" s="163">
        <f>$H$12</f>
        <v>7.7</v>
      </c>
      <c r="H143" s="164">
        <f t="shared" si="22"/>
        <v>329.79999999999995</v>
      </c>
      <c r="I143" s="165">
        <f t="shared" si="23"/>
        <v>428.73999999999995</v>
      </c>
      <c r="J143" s="166"/>
    </row>
    <row r="144" spans="1:20">
      <c r="A144" s="141">
        <v>4</v>
      </c>
      <c r="B144" s="160" t="s">
        <v>73</v>
      </c>
      <c r="C144" s="161" t="str">
        <f t="shared" si="21"/>
        <v>EMBOÇO NA PLATIBANDA</v>
      </c>
      <c r="D144" s="162">
        <f>D142</f>
        <v>16.8</v>
      </c>
      <c r="E144" s="161" t="s">
        <v>7</v>
      </c>
      <c r="F144" s="161">
        <f>$G$15</f>
        <v>13.5</v>
      </c>
      <c r="G144" s="163">
        <f>$H$15</f>
        <v>14</v>
      </c>
      <c r="H144" s="164">
        <f t="shared" si="22"/>
        <v>462</v>
      </c>
      <c r="I144" s="165">
        <f t="shared" si="23"/>
        <v>600.6</v>
      </c>
      <c r="J144" s="166"/>
    </row>
    <row r="145" spans="1:20">
      <c r="A145" s="141">
        <v>5</v>
      </c>
      <c r="B145" s="160" t="s">
        <v>74</v>
      </c>
      <c r="C145" s="161" t="str">
        <f t="shared" si="21"/>
        <v>MADEIRAMENTO</v>
      </c>
      <c r="D145" s="162">
        <f>D141</f>
        <v>34</v>
      </c>
      <c r="E145" s="161" t="s">
        <v>7</v>
      </c>
      <c r="F145" s="161">
        <f>$G$18</f>
        <v>7.5</v>
      </c>
      <c r="G145" s="163">
        <f>$H$18</f>
        <v>2.5</v>
      </c>
      <c r="H145" s="164">
        <f t="shared" si="22"/>
        <v>340</v>
      </c>
      <c r="I145" s="165">
        <f t="shared" si="23"/>
        <v>442</v>
      </c>
      <c r="J145" s="166"/>
    </row>
    <row r="146" spans="1:20">
      <c r="A146" s="141">
        <v>6</v>
      </c>
      <c r="B146" s="160" t="s">
        <v>75</v>
      </c>
      <c r="C146" s="161" t="str">
        <f t="shared" si="21"/>
        <v>BEIRAL EM FORRO DE PVC</v>
      </c>
      <c r="D146" s="162">
        <v>0</v>
      </c>
      <c r="E146" s="161" t="s">
        <v>7</v>
      </c>
      <c r="F146" s="161">
        <f>$G$21</f>
        <v>29</v>
      </c>
      <c r="G146" s="163">
        <f>$H$21</f>
        <v>20</v>
      </c>
      <c r="H146" s="164">
        <f t="shared" si="22"/>
        <v>0</v>
      </c>
      <c r="I146" s="165">
        <f t="shared" si="23"/>
        <v>0</v>
      </c>
      <c r="J146" s="166"/>
    </row>
    <row r="147" spans="1:20">
      <c r="A147" s="141">
        <v>7</v>
      </c>
      <c r="B147" s="160" t="s">
        <v>94</v>
      </c>
      <c r="C147" s="161" t="str">
        <f t="shared" si="21"/>
        <v>TELHA</v>
      </c>
      <c r="D147" s="162">
        <f>D141</f>
        <v>34</v>
      </c>
      <c r="E147" s="161" t="s">
        <v>7</v>
      </c>
      <c r="F147" s="161">
        <f>$G$24</f>
        <v>27.5</v>
      </c>
      <c r="G147" s="163">
        <f>$H$24</f>
        <v>3.5</v>
      </c>
      <c r="H147" s="164">
        <f t="shared" si="22"/>
        <v>1054</v>
      </c>
      <c r="I147" s="165">
        <f t="shared" si="23"/>
        <v>1370.2</v>
      </c>
      <c r="J147" s="166"/>
    </row>
    <row r="148" spans="1:20">
      <c r="A148" s="141">
        <v>8</v>
      </c>
      <c r="B148" s="160" t="s">
        <v>95</v>
      </c>
      <c r="C148" s="161" t="str">
        <f t="shared" si="21"/>
        <v>CUMEEIRA</v>
      </c>
      <c r="D148" s="161">
        <v>0</v>
      </c>
      <c r="E148" s="161" t="s">
        <v>6</v>
      </c>
      <c r="F148" s="161">
        <f>$G$27</f>
        <v>60</v>
      </c>
      <c r="G148" s="163">
        <f>$H$27</f>
        <v>2.2999999999999998</v>
      </c>
      <c r="H148" s="164">
        <f t="shared" si="22"/>
        <v>0</v>
      </c>
      <c r="I148" s="165">
        <f t="shared" si="23"/>
        <v>0</v>
      </c>
      <c r="J148" s="166"/>
    </row>
    <row r="149" spans="1:20">
      <c r="A149" s="141">
        <v>9</v>
      </c>
      <c r="B149" s="160" t="s">
        <v>96</v>
      </c>
      <c r="C149" s="161" t="str">
        <f t="shared" si="21"/>
        <v>RUFO</v>
      </c>
      <c r="D149" s="162">
        <f>D142</f>
        <v>16.8</v>
      </c>
      <c r="E149" s="161" t="s">
        <v>6</v>
      </c>
      <c r="F149" s="162">
        <f>$G$30</f>
        <v>40.5</v>
      </c>
      <c r="G149" s="196">
        <f>$H$30</f>
        <v>8</v>
      </c>
      <c r="H149" s="164">
        <f t="shared" si="22"/>
        <v>814.80000000000007</v>
      </c>
      <c r="I149" s="165">
        <f t="shared" si="23"/>
        <v>1059.2400000000002</v>
      </c>
      <c r="J149" s="166"/>
    </row>
    <row r="150" spans="1:20">
      <c r="A150" s="141">
        <v>10</v>
      </c>
      <c r="B150" s="167" t="s">
        <v>97</v>
      </c>
      <c r="C150" s="151" t="str">
        <f t="shared" si="21"/>
        <v>CALHA</v>
      </c>
      <c r="D150" s="168">
        <f>J47</f>
        <v>8.1999999999999993</v>
      </c>
      <c r="E150" s="151" t="s">
        <v>6</v>
      </c>
      <c r="F150" s="168">
        <f>$G$33</f>
        <v>75</v>
      </c>
      <c r="G150" s="197">
        <f>$H$33</f>
        <v>15</v>
      </c>
      <c r="H150" s="169">
        <f t="shared" si="22"/>
        <v>737.99999999999989</v>
      </c>
      <c r="I150" s="170">
        <f t="shared" si="23"/>
        <v>959.39999999999986</v>
      </c>
      <c r="J150" s="171"/>
      <c r="L150" s="71"/>
      <c r="M150" s="71"/>
      <c r="N150" s="71"/>
      <c r="O150" s="71"/>
      <c r="P150" s="71"/>
      <c r="Q150" s="71"/>
      <c r="R150" s="71">
        <f>R113</f>
        <v>0</v>
      </c>
      <c r="S150" s="71">
        <f>S113</f>
        <v>0</v>
      </c>
      <c r="T150" s="71">
        <f>T113</f>
        <v>0</v>
      </c>
    </row>
    <row r="151" spans="1:20">
      <c r="A151" s="141"/>
      <c r="B151" s="172"/>
      <c r="C151" s="172"/>
      <c r="D151" s="172"/>
      <c r="E151" s="172"/>
      <c r="F151" s="173"/>
      <c r="G151" s="173"/>
      <c r="H151" s="173"/>
      <c r="I151" s="173"/>
      <c r="J151" s="166"/>
      <c r="L151" s="71"/>
      <c r="M151" s="71"/>
      <c r="N151" s="71"/>
      <c r="O151" s="71"/>
      <c r="P151" s="71"/>
      <c r="Q151" s="71"/>
      <c r="R151" s="71">
        <f t="shared" ref="R151:T169" si="24">R115</f>
        <v>0</v>
      </c>
      <c r="S151" s="71">
        <f t="shared" si="24"/>
        <v>0</v>
      </c>
      <c r="T151" s="71">
        <f t="shared" si="24"/>
        <v>0</v>
      </c>
    </row>
    <row r="152" spans="1:20">
      <c r="A152" s="141"/>
      <c r="B152" s="142" t="s">
        <v>66</v>
      </c>
      <c r="C152" s="143" t="s">
        <v>98</v>
      </c>
      <c r="D152" s="144" t="s">
        <v>78</v>
      </c>
      <c r="E152" s="144" t="s">
        <v>104</v>
      </c>
      <c r="F152" s="145" t="s">
        <v>106</v>
      </c>
      <c r="G152" s="145" t="s">
        <v>107</v>
      </c>
      <c r="H152" s="145" t="s">
        <v>108</v>
      </c>
      <c r="I152" s="146" t="s">
        <v>108</v>
      </c>
      <c r="J152" s="147" t="s">
        <v>80</v>
      </c>
      <c r="L152" s="71"/>
      <c r="M152" s="71"/>
      <c r="N152" s="71"/>
      <c r="O152" s="71"/>
      <c r="P152" s="71"/>
      <c r="Q152" s="71"/>
      <c r="R152" s="71">
        <f t="shared" si="24"/>
        <v>0</v>
      </c>
      <c r="S152" s="71">
        <f t="shared" si="24"/>
        <v>0</v>
      </c>
      <c r="T152" s="71">
        <f t="shared" si="24"/>
        <v>0</v>
      </c>
    </row>
    <row r="153" spans="1:20">
      <c r="A153" s="141"/>
      <c r="B153" s="148">
        <v>8</v>
      </c>
      <c r="C153" s="174" t="str">
        <f>VLOOKUP(B153,$B$41:$J$57,2)</f>
        <v>SALA 1 A 8 [ANEXO COZINHA]</v>
      </c>
      <c r="D153" s="150"/>
      <c r="E153" s="151"/>
      <c r="F153" s="152" t="s">
        <v>105</v>
      </c>
      <c r="G153" s="152" t="s">
        <v>105</v>
      </c>
      <c r="H153" s="152" t="s">
        <v>109</v>
      </c>
      <c r="I153" s="153" t="s">
        <v>110</v>
      </c>
      <c r="J153" s="154">
        <f>SUM(I154:I163)</f>
        <v>40182.948000000004</v>
      </c>
      <c r="L153" s="71"/>
      <c r="M153" s="71"/>
      <c r="N153" s="71"/>
      <c r="O153" s="71"/>
      <c r="P153" s="71"/>
      <c r="Q153" s="71"/>
      <c r="R153" s="71">
        <f t="shared" si="24"/>
        <v>0</v>
      </c>
      <c r="S153" s="71">
        <f t="shared" si="24"/>
        <v>0</v>
      </c>
      <c r="T153" s="71">
        <f t="shared" si="24"/>
        <v>0</v>
      </c>
    </row>
    <row r="154" spans="1:20">
      <c r="A154" s="141">
        <v>1</v>
      </c>
      <c r="B154" s="142" t="s">
        <v>70</v>
      </c>
      <c r="C154" s="144" t="str">
        <f t="shared" ref="C154:C163" si="25">VLOOKUP(A154,$A$5:$J$33,3)</f>
        <v>REMOÇÃO DE TELHAS</v>
      </c>
      <c r="D154" s="156">
        <f>$F$48</f>
        <v>475.20000000000005</v>
      </c>
      <c r="E154" s="144" t="s">
        <v>7</v>
      </c>
      <c r="F154" s="144">
        <f>$G$6</f>
        <v>1</v>
      </c>
      <c r="G154" s="145">
        <f>$H$6</f>
        <v>2</v>
      </c>
      <c r="H154" s="157">
        <f>(G154+F154)*D154</f>
        <v>1425.6000000000001</v>
      </c>
      <c r="I154" s="158">
        <f>($I$2+1)*H154</f>
        <v>1853.2800000000002</v>
      </c>
      <c r="J154" s="159"/>
      <c r="L154" s="71"/>
      <c r="M154" s="71"/>
      <c r="N154" s="71"/>
      <c r="O154" s="71"/>
      <c r="P154" s="71"/>
      <c r="Q154" s="71"/>
      <c r="R154" s="71">
        <f t="shared" si="24"/>
        <v>0</v>
      </c>
      <c r="S154" s="71">
        <f t="shared" si="24"/>
        <v>0</v>
      </c>
      <c r="T154" s="71">
        <f t="shared" si="24"/>
        <v>0</v>
      </c>
    </row>
    <row r="155" spans="1:20">
      <c r="A155" s="141">
        <v>2</v>
      </c>
      <c r="B155" s="160" t="s">
        <v>71</v>
      </c>
      <c r="C155" s="161" t="str">
        <f t="shared" si="25"/>
        <v>REMOÇÃO DE CALHAS E RUFOS</v>
      </c>
      <c r="D155" s="162">
        <f>$I$48</f>
        <v>74.8</v>
      </c>
      <c r="E155" s="161" t="s">
        <v>6</v>
      </c>
      <c r="F155" s="161">
        <f>$G$9</f>
        <v>1</v>
      </c>
      <c r="G155" s="163">
        <f>$H$9</f>
        <v>2.2000000000000002</v>
      </c>
      <c r="H155" s="164">
        <f t="shared" ref="H155:H163" si="26">(F155+G155)*D155</f>
        <v>239.36</v>
      </c>
      <c r="I155" s="165">
        <f t="shared" ref="I155:I163" si="27">($I$2+1)*H155</f>
        <v>311.16800000000001</v>
      </c>
      <c r="J155" s="166"/>
      <c r="L155" s="71"/>
      <c r="M155" s="71"/>
      <c r="N155" s="71"/>
      <c r="O155" s="71"/>
      <c r="P155" s="71"/>
      <c r="Q155" s="71"/>
      <c r="R155" s="71">
        <f t="shared" si="24"/>
        <v>0</v>
      </c>
      <c r="S155" s="71">
        <f t="shared" si="24"/>
        <v>0</v>
      </c>
      <c r="T155" s="71">
        <f t="shared" si="24"/>
        <v>0</v>
      </c>
    </row>
    <row r="156" spans="1:20">
      <c r="A156" s="141">
        <v>3</v>
      </c>
      <c r="B156" s="160" t="s">
        <v>72</v>
      </c>
      <c r="C156" s="161" t="str">
        <f t="shared" si="25"/>
        <v>REMOÇÃO DE ESTRUTURA DE MADEIRA</v>
      </c>
      <c r="D156" s="162">
        <v>0</v>
      </c>
      <c r="E156" s="161" t="s">
        <v>7</v>
      </c>
      <c r="F156" s="161">
        <f>$G$12</f>
        <v>2</v>
      </c>
      <c r="G156" s="163">
        <f>$H$12</f>
        <v>7.7</v>
      </c>
      <c r="H156" s="164">
        <f t="shared" si="26"/>
        <v>0</v>
      </c>
      <c r="I156" s="165">
        <f t="shared" si="27"/>
        <v>0</v>
      </c>
      <c r="J156" s="166"/>
      <c r="L156" s="71"/>
      <c r="M156" s="71"/>
      <c r="N156" s="71"/>
      <c r="O156" s="71"/>
      <c r="P156" s="71"/>
      <c r="Q156" s="71"/>
      <c r="R156" s="71">
        <f t="shared" si="24"/>
        <v>0</v>
      </c>
      <c r="S156" s="71">
        <f t="shared" si="24"/>
        <v>0</v>
      </c>
      <c r="T156" s="71">
        <f t="shared" si="24"/>
        <v>0</v>
      </c>
    </row>
    <row r="157" spans="1:20">
      <c r="A157" s="141">
        <v>4</v>
      </c>
      <c r="B157" s="160" t="s">
        <v>73</v>
      </c>
      <c r="C157" s="161" t="str">
        <f t="shared" si="25"/>
        <v>EMBOÇO NA PLATIBANDA</v>
      </c>
      <c r="D157" s="162">
        <f>D155</f>
        <v>74.8</v>
      </c>
      <c r="E157" s="161" t="s">
        <v>7</v>
      </c>
      <c r="F157" s="161">
        <f>$G$15</f>
        <v>13.5</v>
      </c>
      <c r="G157" s="163">
        <f>$H$15</f>
        <v>14</v>
      </c>
      <c r="H157" s="164">
        <f t="shared" si="26"/>
        <v>2057</v>
      </c>
      <c r="I157" s="165">
        <f t="shared" si="27"/>
        <v>2674.1</v>
      </c>
      <c r="J157" s="166"/>
      <c r="L157" s="71"/>
      <c r="M157" s="71"/>
      <c r="N157" s="71"/>
      <c r="O157" s="71"/>
      <c r="P157" s="71"/>
      <c r="Q157" s="71"/>
      <c r="R157" s="71">
        <f t="shared" si="24"/>
        <v>0</v>
      </c>
      <c r="S157" s="71">
        <f t="shared" si="24"/>
        <v>0</v>
      </c>
      <c r="T157" s="71">
        <f t="shared" si="24"/>
        <v>0</v>
      </c>
    </row>
    <row r="158" spans="1:20">
      <c r="A158" s="141">
        <v>5</v>
      </c>
      <c r="B158" s="160" t="s">
        <v>74</v>
      </c>
      <c r="C158" s="161" t="str">
        <f t="shared" si="25"/>
        <v>MADEIRAMENTO</v>
      </c>
      <c r="D158" s="162">
        <v>0</v>
      </c>
      <c r="E158" s="161" t="s">
        <v>7</v>
      </c>
      <c r="F158" s="161">
        <f>$G$18</f>
        <v>7.5</v>
      </c>
      <c r="G158" s="163">
        <f>$H$18</f>
        <v>2.5</v>
      </c>
      <c r="H158" s="164">
        <f t="shared" si="26"/>
        <v>0</v>
      </c>
      <c r="I158" s="165">
        <f t="shared" si="27"/>
        <v>0</v>
      </c>
      <c r="J158" s="166"/>
      <c r="L158" s="73"/>
      <c r="M158" s="73"/>
      <c r="N158" s="73"/>
      <c r="O158" s="73"/>
      <c r="P158" s="73"/>
      <c r="Q158" s="73"/>
      <c r="R158" s="73">
        <f t="shared" si="24"/>
        <v>0</v>
      </c>
      <c r="S158" s="73">
        <f t="shared" si="24"/>
        <v>0</v>
      </c>
      <c r="T158" s="73">
        <f t="shared" si="24"/>
        <v>0</v>
      </c>
    </row>
    <row r="159" spans="1:20">
      <c r="A159" s="141">
        <v>6</v>
      </c>
      <c r="B159" s="160" t="s">
        <v>75</v>
      </c>
      <c r="C159" s="161" t="str">
        <f t="shared" si="25"/>
        <v>BEIRAL EM FORRO DE PVC</v>
      </c>
      <c r="D159" s="162">
        <f>D48*1.5</f>
        <v>81</v>
      </c>
      <c r="E159" s="161" t="s">
        <v>7</v>
      </c>
      <c r="F159" s="161">
        <f>$G$21</f>
        <v>29</v>
      </c>
      <c r="G159" s="163">
        <f>$H$21</f>
        <v>20</v>
      </c>
      <c r="H159" s="164">
        <f t="shared" si="26"/>
        <v>3969</v>
      </c>
      <c r="I159" s="165">
        <f t="shared" si="27"/>
        <v>5159.7</v>
      </c>
      <c r="J159" s="166"/>
      <c r="L159" s="71"/>
      <c r="M159" s="71"/>
      <c r="N159" s="71"/>
      <c r="O159" s="71"/>
      <c r="P159" s="71"/>
      <c r="Q159" s="71"/>
      <c r="R159" s="71">
        <f t="shared" si="24"/>
        <v>0</v>
      </c>
      <c r="S159" s="71">
        <f t="shared" si="24"/>
        <v>0</v>
      </c>
      <c r="T159" s="71">
        <f t="shared" si="24"/>
        <v>0</v>
      </c>
    </row>
    <row r="160" spans="1:20">
      <c r="A160" s="141">
        <v>7</v>
      </c>
      <c r="B160" s="160" t="s">
        <v>94</v>
      </c>
      <c r="C160" s="161" t="str">
        <f t="shared" si="25"/>
        <v>TELHA</v>
      </c>
      <c r="D160" s="162">
        <f>D154</f>
        <v>475.20000000000005</v>
      </c>
      <c r="E160" s="161" t="s">
        <v>7</v>
      </c>
      <c r="F160" s="161">
        <f>$G$24</f>
        <v>27.5</v>
      </c>
      <c r="G160" s="163">
        <f>$H$24</f>
        <v>3.5</v>
      </c>
      <c r="H160" s="164">
        <f t="shared" si="26"/>
        <v>14731.2</v>
      </c>
      <c r="I160" s="165">
        <f t="shared" si="27"/>
        <v>19150.560000000001</v>
      </c>
      <c r="J160" s="166"/>
      <c r="L160" s="71"/>
      <c r="M160" s="71"/>
      <c r="N160" s="71"/>
      <c r="O160" s="71"/>
      <c r="P160" s="71"/>
      <c r="Q160" s="71"/>
      <c r="R160" s="71">
        <f t="shared" si="24"/>
        <v>0</v>
      </c>
      <c r="S160" s="71">
        <f t="shared" si="24"/>
        <v>0</v>
      </c>
      <c r="T160" s="71">
        <f t="shared" si="24"/>
        <v>0</v>
      </c>
    </row>
    <row r="161" spans="1:20">
      <c r="A161" s="141">
        <v>8</v>
      </c>
      <c r="B161" s="160" t="s">
        <v>95</v>
      </c>
      <c r="C161" s="161" t="str">
        <f t="shared" si="25"/>
        <v>CUMEEIRA</v>
      </c>
      <c r="D161" s="161">
        <v>0</v>
      </c>
      <c r="E161" s="161" t="s">
        <v>6</v>
      </c>
      <c r="F161" s="161">
        <f>$G$27</f>
        <v>60</v>
      </c>
      <c r="G161" s="163">
        <f>$H$27</f>
        <v>2.2999999999999998</v>
      </c>
      <c r="H161" s="164">
        <f t="shared" si="26"/>
        <v>0</v>
      </c>
      <c r="I161" s="165">
        <f t="shared" si="27"/>
        <v>0</v>
      </c>
      <c r="J161" s="166"/>
      <c r="L161" s="71"/>
      <c r="M161" s="71"/>
      <c r="N161" s="71"/>
      <c r="O161" s="71"/>
      <c r="P161" s="71"/>
      <c r="Q161" s="71"/>
      <c r="R161" s="71">
        <f t="shared" si="24"/>
        <v>0</v>
      </c>
      <c r="S161" s="71">
        <f t="shared" si="24"/>
        <v>0</v>
      </c>
      <c r="T161" s="71">
        <f t="shared" si="24"/>
        <v>0</v>
      </c>
    </row>
    <row r="162" spans="1:20">
      <c r="A162" s="141">
        <v>9</v>
      </c>
      <c r="B162" s="160" t="s">
        <v>96</v>
      </c>
      <c r="C162" s="161" t="str">
        <f t="shared" si="25"/>
        <v>RUFO</v>
      </c>
      <c r="D162" s="162">
        <f>D155</f>
        <v>74.8</v>
      </c>
      <c r="E162" s="161" t="s">
        <v>6</v>
      </c>
      <c r="F162" s="162">
        <f>$G$30</f>
        <v>40.5</v>
      </c>
      <c r="G162" s="196">
        <f>$H$30</f>
        <v>8</v>
      </c>
      <c r="H162" s="164">
        <f t="shared" si="26"/>
        <v>3627.7999999999997</v>
      </c>
      <c r="I162" s="165">
        <f t="shared" si="27"/>
        <v>4716.1399999999994</v>
      </c>
      <c r="J162" s="166"/>
      <c r="L162" s="71"/>
      <c r="M162" s="71"/>
      <c r="N162" s="71"/>
      <c r="O162" s="71"/>
      <c r="P162" s="71"/>
      <c r="Q162" s="71"/>
      <c r="R162" s="71">
        <f t="shared" si="24"/>
        <v>0</v>
      </c>
      <c r="S162" s="71">
        <f t="shared" si="24"/>
        <v>0</v>
      </c>
      <c r="T162" s="71">
        <f t="shared" si="24"/>
        <v>0</v>
      </c>
    </row>
    <row r="163" spans="1:20">
      <c r="A163" s="141">
        <v>10</v>
      </c>
      <c r="B163" s="167" t="s">
        <v>97</v>
      </c>
      <c r="C163" s="151" t="str">
        <f t="shared" si="25"/>
        <v>CALHA</v>
      </c>
      <c r="D163" s="168">
        <f>J48</f>
        <v>54</v>
      </c>
      <c r="E163" s="151" t="s">
        <v>6</v>
      </c>
      <c r="F163" s="168">
        <f>$G$33</f>
        <v>75</v>
      </c>
      <c r="G163" s="197">
        <f>$H$33</f>
        <v>15</v>
      </c>
      <c r="H163" s="169">
        <f t="shared" si="26"/>
        <v>4860</v>
      </c>
      <c r="I163" s="170">
        <f t="shared" si="27"/>
        <v>6318</v>
      </c>
      <c r="J163" s="171"/>
      <c r="L163" s="71"/>
      <c r="M163" s="71"/>
      <c r="N163" s="71"/>
      <c r="O163" s="71"/>
      <c r="P163" s="71"/>
      <c r="Q163" s="71"/>
      <c r="R163" s="71">
        <f t="shared" si="24"/>
        <v>0</v>
      </c>
      <c r="S163" s="71">
        <f t="shared" si="24"/>
        <v>0</v>
      </c>
      <c r="T163" s="71">
        <f t="shared" si="24"/>
        <v>0</v>
      </c>
    </row>
    <row r="164" spans="1:20">
      <c r="A164" s="141"/>
      <c r="B164" s="172"/>
      <c r="C164" s="172"/>
      <c r="D164" s="172"/>
      <c r="E164" s="172"/>
      <c r="F164" s="173"/>
      <c r="G164" s="173"/>
      <c r="H164" s="173"/>
      <c r="I164" s="173"/>
      <c r="J164" s="166"/>
      <c r="L164" s="71"/>
      <c r="M164" s="71"/>
      <c r="N164" s="71"/>
      <c r="O164" s="71"/>
      <c r="P164" s="71"/>
      <c r="Q164" s="71"/>
      <c r="R164" s="71">
        <f t="shared" si="24"/>
        <v>0</v>
      </c>
      <c r="S164" s="71">
        <f t="shared" si="24"/>
        <v>0</v>
      </c>
      <c r="T164" s="71">
        <f t="shared" si="24"/>
        <v>0</v>
      </c>
    </row>
    <row r="165" spans="1:20">
      <c r="A165" s="141"/>
      <c r="B165" s="142" t="s">
        <v>66</v>
      </c>
      <c r="C165" s="143" t="s">
        <v>98</v>
      </c>
      <c r="D165" s="144" t="s">
        <v>78</v>
      </c>
      <c r="E165" s="144" t="s">
        <v>104</v>
      </c>
      <c r="F165" s="145" t="s">
        <v>106</v>
      </c>
      <c r="G165" s="145" t="s">
        <v>107</v>
      </c>
      <c r="H165" s="145" t="s">
        <v>108</v>
      </c>
      <c r="I165" s="146" t="s">
        <v>108</v>
      </c>
      <c r="J165" s="147" t="s">
        <v>80</v>
      </c>
      <c r="L165" s="71"/>
      <c r="M165" s="71"/>
      <c r="N165" s="71"/>
      <c r="O165" s="71"/>
      <c r="P165" s="71"/>
      <c r="Q165" s="71"/>
      <c r="R165" s="71">
        <f t="shared" si="24"/>
        <v>0</v>
      </c>
      <c r="S165" s="71">
        <f t="shared" si="24"/>
        <v>0</v>
      </c>
      <c r="T165" s="71">
        <f t="shared" si="24"/>
        <v>0</v>
      </c>
    </row>
    <row r="166" spans="1:20">
      <c r="A166" s="141"/>
      <c r="B166" s="148">
        <v>9</v>
      </c>
      <c r="C166" s="174" t="str">
        <f>VLOOKUP(B166,$B$41:$J$57,2)</f>
        <v>WC [ANEXO SALA 1 A 8]</v>
      </c>
      <c r="D166" s="150"/>
      <c r="E166" s="151"/>
      <c r="F166" s="152" t="s">
        <v>105</v>
      </c>
      <c r="G166" s="152" t="s">
        <v>105</v>
      </c>
      <c r="H166" s="152" t="s">
        <v>109</v>
      </c>
      <c r="I166" s="153" t="s">
        <v>110</v>
      </c>
      <c r="J166" s="154">
        <f>SUM(I167:I176)</f>
        <v>5637.2420000000002</v>
      </c>
      <c r="L166" s="71"/>
      <c r="M166" s="71"/>
      <c r="N166" s="71"/>
      <c r="O166" s="71"/>
      <c r="P166" s="71"/>
      <c r="Q166" s="71"/>
      <c r="R166" s="71">
        <f t="shared" si="24"/>
        <v>0</v>
      </c>
      <c r="S166" s="71">
        <f t="shared" si="24"/>
        <v>0</v>
      </c>
      <c r="T166" s="71">
        <f t="shared" si="24"/>
        <v>0</v>
      </c>
    </row>
    <row r="167" spans="1:20">
      <c r="A167" s="141">
        <v>1</v>
      </c>
      <c r="B167" s="142" t="s">
        <v>70</v>
      </c>
      <c r="C167" s="144" t="str">
        <f t="shared" ref="C167:C176" si="28">VLOOKUP(A167,$A$5:$J$33,3)</f>
        <v>REMOÇÃO DE TELHAS</v>
      </c>
      <c r="D167" s="156">
        <f>$F$49</f>
        <v>64.959999999999994</v>
      </c>
      <c r="E167" s="144" t="s">
        <v>7</v>
      </c>
      <c r="F167" s="144">
        <f>$G$6</f>
        <v>1</v>
      </c>
      <c r="G167" s="145">
        <f>$H$6</f>
        <v>2</v>
      </c>
      <c r="H167" s="157">
        <f>(G167+F167)*D167</f>
        <v>194.88</v>
      </c>
      <c r="I167" s="158">
        <f>($I$2+1)*H167</f>
        <v>253.34399999999999</v>
      </c>
      <c r="J167" s="159"/>
      <c r="L167" s="71"/>
      <c r="M167" s="71"/>
      <c r="N167" s="71"/>
      <c r="O167" s="71"/>
      <c r="P167" s="71"/>
      <c r="Q167" s="71"/>
      <c r="R167" s="71">
        <f t="shared" si="24"/>
        <v>0</v>
      </c>
      <c r="S167" s="71">
        <f t="shared" si="24"/>
        <v>0</v>
      </c>
      <c r="T167" s="71">
        <f t="shared" si="24"/>
        <v>0</v>
      </c>
    </row>
    <row r="168" spans="1:20">
      <c r="A168" s="141">
        <v>2</v>
      </c>
      <c r="B168" s="160" t="s">
        <v>71</v>
      </c>
      <c r="C168" s="161" t="str">
        <f t="shared" si="28"/>
        <v>REMOÇÃO DE CALHAS E RUFOS</v>
      </c>
      <c r="D168" s="162">
        <f>$I$49</f>
        <v>23.5</v>
      </c>
      <c r="E168" s="161" t="s">
        <v>6</v>
      </c>
      <c r="F168" s="161">
        <f>$G$9</f>
        <v>1</v>
      </c>
      <c r="G168" s="163">
        <f>$H$9</f>
        <v>2.2000000000000002</v>
      </c>
      <c r="H168" s="164">
        <f t="shared" ref="H168:H176" si="29">(F168+G168)*D168</f>
        <v>75.2</v>
      </c>
      <c r="I168" s="165">
        <f t="shared" ref="I168:I176" si="30">($I$2+1)*H168</f>
        <v>97.76</v>
      </c>
      <c r="J168" s="166"/>
      <c r="L168" s="71"/>
      <c r="M168" s="71"/>
      <c r="N168" s="71"/>
      <c r="O168" s="71"/>
      <c r="P168" s="71"/>
      <c r="Q168" s="71"/>
      <c r="R168" s="71">
        <f t="shared" si="24"/>
        <v>0</v>
      </c>
      <c r="S168" s="71">
        <f t="shared" si="24"/>
        <v>0</v>
      </c>
      <c r="T168" s="71">
        <f t="shared" si="24"/>
        <v>0</v>
      </c>
    </row>
    <row r="169" spans="1:20">
      <c r="A169" s="141">
        <v>3</v>
      </c>
      <c r="B169" s="160" t="s">
        <v>72</v>
      </c>
      <c r="C169" s="161" t="str">
        <f t="shared" si="28"/>
        <v>REMOÇÃO DE ESTRUTURA DE MADEIRA</v>
      </c>
      <c r="D169" s="162">
        <v>0</v>
      </c>
      <c r="E169" s="161" t="s">
        <v>7</v>
      </c>
      <c r="F169" s="161">
        <f>$G$12</f>
        <v>2</v>
      </c>
      <c r="G169" s="163">
        <f>$H$12</f>
        <v>7.7</v>
      </c>
      <c r="H169" s="164">
        <f t="shared" si="29"/>
        <v>0</v>
      </c>
      <c r="I169" s="165">
        <f t="shared" si="30"/>
        <v>0</v>
      </c>
      <c r="J169" s="166"/>
      <c r="L169" s="71"/>
      <c r="M169" s="71"/>
      <c r="N169" s="71"/>
      <c r="O169" s="71"/>
      <c r="P169" s="71"/>
      <c r="Q169" s="71"/>
      <c r="R169" s="71">
        <f t="shared" si="24"/>
        <v>0</v>
      </c>
      <c r="S169" s="71">
        <f t="shared" si="24"/>
        <v>0</v>
      </c>
      <c r="T169" s="71">
        <f t="shared" si="24"/>
        <v>0</v>
      </c>
    </row>
    <row r="170" spans="1:20">
      <c r="A170" s="141">
        <v>4</v>
      </c>
      <c r="B170" s="160" t="s">
        <v>73</v>
      </c>
      <c r="C170" s="161" t="str">
        <f t="shared" si="28"/>
        <v>EMBOÇO NA PLATIBANDA</v>
      </c>
      <c r="D170" s="162">
        <f>E49*0.5</f>
        <v>2.9</v>
      </c>
      <c r="E170" s="161" t="s">
        <v>7</v>
      </c>
      <c r="F170" s="161">
        <f>$G$15</f>
        <v>13.5</v>
      </c>
      <c r="G170" s="163">
        <f>$H$15</f>
        <v>14</v>
      </c>
      <c r="H170" s="164">
        <f t="shared" si="29"/>
        <v>79.75</v>
      </c>
      <c r="I170" s="165">
        <f t="shared" si="30"/>
        <v>103.675</v>
      </c>
      <c r="J170" s="166"/>
    </row>
    <row r="171" spans="1:20">
      <c r="A171" s="141">
        <v>5</v>
      </c>
      <c r="B171" s="160" t="s">
        <v>74</v>
      </c>
      <c r="C171" s="161" t="str">
        <f t="shared" si="28"/>
        <v>MADEIRAMENTO</v>
      </c>
      <c r="D171" s="162">
        <v>0</v>
      </c>
      <c r="E171" s="161" t="s">
        <v>7</v>
      </c>
      <c r="F171" s="161">
        <f>$G$18</f>
        <v>7.5</v>
      </c>
      <c r="G171" s="163">
        <f>$H$18</f>
        <v>2.5</v>
      </c>
      <c r="H171" s="164">
        <f t="shared" si="29"/>
        <v>0</v>
      </c>
      <c r="I171" s="165">
        <f t="shared" si="30"/>
        <v>0</v>
      </c>
      <c r="J171" s="166"/>
    </row>
    <row r="172" spans="1:20">
      <c r="A172" s="141">
        <v>6</v>
      </c>
      <c r="B172" s="160" t="s">
        <v>75</v>
      </c>
      <c r="C172" s="161" t="str">
        <f t="shared" si="28"/>
        <v>BEIRAL EM FORRO DE PVC</v>
      </c>
      <c r="D172" s="162">
        <f>D49+E49</f>
        <v>17</v>
      </c>
      <c r="E172" s="161" t="s">
        <v>7</v>
      </c>
      <c r="F172" s="161">
        <f>$G$21</f>
        <v>29</v>
      </c>
      <c r="G172" s="163">
        <f>$H$21</f>
        <v>20</v>
      </c>
      <c r="H172" s="164">
        <f t="shared" si="29"/>
        <v>833</v>
      </c>
      <c r="I172" s="165">
        <f t="shared" si="30"/>
        <v>1082.9000000000001</v>
      </c>
      <c r="J172" s="166"/>
    </row>
    <row r="173" spans="1:20">
      <c r="A173" s="141">
        <v>7</v>
      </c>
      <c r="B173" s="160" t="s">
        <v>94</v>
      </c>
      <c r="C173" s="161" t="str">
        <f t="shared" si="28"/>
        <v>TELHA</v>
      </c>
      <c r="D173" s="162">
        <f>D167</f>
        <v>64.959999999999994</v>
      </c>
      <c r="E173" s="161" t="s">
        <v>7</v>
      </c>
      <c r="F173" s="161">
        <f>$G$24</f>
        <v>27.5</v>
      </c>
      <c r="G173" s="163">
        <f>$H$24</f>
        <v>3.5</v>
      </c>
      <c r="H173" s="164">
        <f t="shared" si="29"/>
        <v>2013.7599999999998</v>
      </c>
      <c r="I173" s="165">
        <f t="shared" si="30"/>
        <v>2617.8879999999999</v>
      </c>
      <c r="J173" s="166"/>
    </row>
    <row r="174" spans="1:20">
      <c r="A174" s="141">
        <v>8</v>
      </c>
      <c r="B174" s="160" t="s">
        <v>95</v>
      </c>
      <c r="C174" s="161" t="str">
        <f t="shared" si="28"/>
        <v>CUMEEIRA</v>
      </c>
      <c r="D174" s="161">
        <v>0</v>
      </c>
      <c r="E174" s="161" t="s">
        <v>6</v>
      </c>
      <c r="F174" s="161">
        <f>$G$27</f>
        <v>60</v>
      </c>
      <c r="G174" s="163">
        <f>$H$27</f>
        <v>2.2999999999999998</v>
      </c>
      <c r="H174" s="164">
        <f t="shared" si="29"/>
        <v>0</v>
      </c>
      <c r="I174" s="165">
        <f t="shared" si="30"/>
        <v>0</v>
      </c>
      <c r="J174" s="166"/>
    </row>
    <row r="175" spans="1:20">
      <c r="A175" s="141">
        <v>9</v>
      </c>
      <c r="B175" s="160" t="s">
        <v>96</v>
      </c>
      <c r="C175" s="161" t="str">
        <f t="shared" si="28"/>
        <v>RUFO</v>
      </c>
      <c r="D175" s="162">
        <f>D168</f>
        <v>23.5</v>
      </c>
      <c r="E175" s="161" t="s">
        <v>6</v>
      </c>
      <c r="F175" s="162">
        <f>$G$30</f>
        <v>40.5</v>
      </c>
      <c r="G175" s="196">
        <f>$H$30</f>
        <v>8</v>
      </c>
      <c r="H175" s="164">
        <f t="shared" si="29"/>
        <v>1139.75</v>
      </c>
      <c r="I175" s="165">
        <f t="shared" si="30"/>
        <v>1481.675</v>
      </c>
      <c r="J175" s="166"/>
    </row>
    <row r="176" spans="1:20">
      <c r="A176" s="141">
        <v>10</v>
      </c>
      <c r="B176" s="167" t="s">
        <v>97</v>
      </c>
      <c r="C176" s="151" t="str">
        <f t="shared" si="28"/>
        <v>CALHA</v>
      </c>
      <c r="D176" s="168">
        <v>0</v>
      </c>
      <c r="E176" s="151" t="s">
        <v>6</v>
      </c>
      <c r="F176" s="168">
        <f>$G$33</f>
        <v>75</v>
      </c>
      <c r="G176" s="197">
        <f>$H$33</f>
        <v>15</v>
      </c>
      <c r="H176" s="169">
        <f t="shared" si="29"/>
        <v>0</v>
      </c>
      <c r="I176" s="170">
        <f t="shared" si="30"/>
        <v>0</v>
      </c>
      <c r="J176" s="171"/>
    </row>
    <row r="177" spans="1:10">
      <c r="A177" s="141"/>
      <c r="B177" s="172"/>
      <c r="C177" s="172"/>
      <c r="D177" s="172"/>
      <c r="E177" s="172"/>
      <c r="F177" s="173"/>
      <c r="G177" s="173"/>
      <c r="H177" s="173"/>
      <c r="I177" s="173"/>
      <c r="J177" s="166"/>
    </row>
    <row r="178" spans="1:10">
      <c r="A178" s="141"/>
      <c r="B178" s="142" t="s">
        <v>66</v>
      </c>
      <c r="C178" s="143" t="s">
        <v>98</v>
      </c>
      <c r="D178" s="144" t="s">
        <v>78</v>
      </c>
      <c r="E178" s="144" t="s">
        <v>104</v>
      </c>
      <c r="F178" s="145" t="s">
        <v>106</v>
      </c>
      <c r="G178" s="145" t="s">
        <v>107</v>
      </c>
      <c r="H178" s="145" t="s">
        <v>108</v>
      </c>
      <c r="I178" s="146" t="s">
        <v>108</v>
      </c>
      <c r="J178" s="147" t="s">
        <v>80</v>
      </c>
    </row>
    <row r="179" spans="1:10">
      <c r="A179" s="141"/>
      <c r="B179" s="148">
        <v>10</v>
      </c>
      <c r="C179" s="174" t="str">
        <f>VLOOKUP(B179,$B$41:$J$57,2)</f>
        <v>COZINHA</v>
      </c>
      <c r="D179" s="150"/>
      <c r="E179" s="151"/>
      <c r="F179" s="152" t="s">
        <v>105</v>
      </c>
      <c r="G179" s="152" t="s">
        <v>105</v>
      </c>
      <c r="H179" s="152" t="s">
        <v>109</v>
      </c>
      <c r="I179" s="153" t="s">
        <v>110</v>
      </c>
      <c r="J179" s="154">
        <f>SUM(I180:I189)</f>
        <v>2850.7049999999999</v>
      </c>
    </row>
    <row r="180" spans="1:10">
      <c r="A180" s="141">
        <v>1</v>
      </c>
      <c r="B180" s="142" t="s">
        <v>70</v>
      </c>
      <c r="C180" s="144" t="str">
        <f t="shared" ref="C180:C189" si="31">VLOOKUP(A180,$A$5:$J$33,3)</f>
        <v>REMOÇÃO DE TELHAS</v>
      </c>
      <c r="D180" s="156">
        <f>$F$50</f>
        <v>24.36</v>
      </c>
      <c r="E180" s="144" t="s">
        <v>7</v>
      </c>
      <c r="F180" s="144">
        <f>$G$6</f>
        <v>1</v>
      </c>
      <c r="G180" s="145">
        <f>$H$6</f>
        <v>2</v>
      </c>
      <c r="H180" s="157">
        <f>(G180+F180)*D180</f>
        <v>73.08</v>
      </c>
      <c r="I180" s="158">
        <f>($I$2+1)*H180</f>
        <v>95.004000000000005</v>
      </c>
      <c r="J180" s="159"/>
    </row>
    <row r="181" spans="1:10">
      <c r="A181" s="141">
        <v>2</v>
      </c>
      <c r="B181" s="160" t="s">
        <v>71</v>
      </c>
      <c r="C181" s="161" t="str">
        <f t="shared" si="31"/>
        <v>REMOÇÃO DE CALHAS E RUFOS</v>
      </c>
      <c r="D181" s="162">
        <f>$I$50</f>
        <v>15.8</v>
      </c>
      <c r="E181" s="161" t="s">
        <v>6</v>
      </c>
      <c r="F181" s="161">
        <f>$G$9</f>
        <v>1</v>
      </c>
      <c r="G181" s="163">
        <f>$H$9</f>
        <v>2.2000000000000002</v>
      </c>
      <c r="H181" s="164">
        <f t="shared" ref="H181:H189" si="32">(F181+G181)*D181</f>
        <v>50.56</v>
      </c>
      <c r="I181" s="165">
        <f t="shared" ref="I181:I189" si="33">($I$2+1)*H181</f>
        <v>65.728000000000009</v>
      </c>
      <c r="J181" s="166"/>
    </row>
    <row r="182" spans="1:10">
      <c r="A182" s="141">
        <v>3</v>
      </c>
      <c r="B182" s="160" t="s">
        <v>72</v>
      </c>
      <c r="C182" s="161" t="str">
        <f t="shared" si="31"/>
        <v>REMOÇÃO DE ESTRUTURA DE MADEIRA</v>
      </c>
      <c r="D182" s="162">
        <v>0</v>
      </c>
      <c r="E182" s="161" t="s">
        <v>7</v>
      </c>
      <c r="F182" s="161">
        <f>$G$12</f>
        <v>2</v>
      </c>
      <c r="G182" s="163">
        <f>$H$12</f>
        <v>7.7</v>
      </c>
      <c r="H182" s="164">
        <f t="shared" si="32"/>
        <v>0</v>
      </c>
      <c r="I182" s="165">
        <f t="shared" si="33"/>
        <v>0</v>
      </c>
      <c r="J182" s="166"/>
    </row>
    <row r="183" spans="1:10">
      <c r="A183" s="141">
        <v>4</v>
      </c>
      <c r="B183" s="160" t="s">
        <v>73</v>
      </c>
      <c r="C183" s="161" t="str">
        <f t="shared" si="31"/>
        <v>EMBOÇO NA PLATIBANDA</v>
      </c>
      <c r="D183" s="162">
        <f>E50*0.5</f>
        <v>2.1</v>
      </c>
      <c r="E183" s="161" t="s">
        <v>7</v>
      </c>
      <c r="F183" s="161">
        <f>$G$15</f>
        <v>13.5</v>
      </c>
      <c r="G183" s="163">
        <f>$H$15</f>
        <v>14</v>
      </c>
      <c r="H183" s="164">
        <f t="shared" si="32"/>
        <v>57.75</v>
      </c>
      <c r="I183" s="165">
        <f t="shared" si="33"/>
        <v>75.075000000000003</v>
      </c>
      <c r="J183" s="166"/>
    </row>
    <row r="184" spans="1:10">
      <c r="A184" s="141">
        <v>5</v>
      </c>
      <c r="B184" s="160" t="s">
        <v>74</v>
      </c>
      <c r="C184" s="161" t="str">
        <f t="shared" si="31"/>
        <v>MADEIRAMENTO</v>
      </c>
      <c r="D184" s="162">
        <v>0</v>
      </c>
      <c r="E184" s="161" t="s">
        <v>7</v>
      </c>
      <c r="F184" s="161">
        <f>$G$18</f>
        <v>7.5</v>
      </c>
      <c r="G184" s="163">
        <f>$H$18</f>
        <v>2.5</v>
      </c>
      <c r="H184" s="164">
        <f t="shared" si="32"/>
        <v>0</v>
      </c>
      <c r="I184" s="165">
        <f t="shared" si="33"/>
        <v>0</v>
      </c>
      <c r="J184" s="166"/>
    </row>
    <row r="185" spans="1:10">
      <c r="A185" s="141">
        <v>6</v>
      </c>
      <c r="B185" s="160" t="s">
        <v>75</v>
      </c>
      <c r="C185" s="161" t="str">
        <f t="shared" si="31"/>
        <v>BEIRAL EM FORRO DE PVC</v>
      </c>
      <c r="D185" s="162">
        <f>D50+E50</f>
        <v>10</v>
      </c>
      <c r="E185" s="161" t="s">
        <v>7</v>
      </c>
      <c r="F185" s="161">
        <f>$G$21</f>
        <v>29</v>
      </c>
      <c r="G185" s="163">
        <f>$H$21</f>
        <v>20</v>
      </c>
      <c r="H185" s="164">
        <f t="shared" si="32"/>
        <v>490</v>
      </c>
      <c r="I185" s="165">
        <f t="shared" si="33"/>
        <v>637</v>
      </c>
      <c r="J185" s="166"/>
    </row>
    <row r="186" spans="1:10">
      <c r="A186" s="141">
        <v>7</v>
      </c>
      <c r="B186" s="160" t="s">
        <v>94</v>
      </c>
      <c r="C186" s="161" t="str">
        <f t="shared" si="31"/>
        <v>TELHA</v>
      </c>
      <c r="D186" s="162">
        <f>D180</f>
        <v>24.36</v>
      </c>
      <c r="E186" s="161" t="s">
        <v>7</v>
      </c>
      <c r="F186" s="161">
        <f>$G$24</f>
        <v>27.5</v>
      </c>
      <c r="G186" s="163">
        <f>$H$24</f>
        <v>3.5</v>
      </c>
      <c r="H186" s="164">
        <f t="shared" si="32"/>
        <v>755.16</v>
      </c>
      <c r="I186" s="165">
        <f t="shared" si="33"/>
        <v>981.70799999999997</v>
      </c>
      <c r="J186" s="166"/>
    </row>
    <row r="187" spans="1:10">
      <c r="A187" s="141">
        <v>8</v>
      </c>
      <c r="B187" s="160" t="s">
        <v>95</v>
      </c>
      <c r="C187" s="161" t="str">
        <f t="shared" si="31"/>
        <v>CUMEEIRA</v>
      </c>
      <c r="D187" s="161">
        <v>0</v>
      </c>
      <c r="E187" s="161" t="s">
        <v>6</v>
      </c>
      <c r="F187" s="161">
        <f>$G$27</f>
        <v>60</v>
      </c>
      <c r="G187" s="163">
        <f>$H$27</f>
        <v>2.2999999999999998</v>
      </c>
      <c r="H187" s="164">
        <f t="shared" si="32"/>
        <v>0</v>
      </c>
      <c r="I187" s="165">
        <f t="shared" si="33"/>
        <v>0</v>
      </c>
      <c r="J187" s="166"/>
    </row>
    <row r="188" spans="1:10">
      <c r="A188" s="141">
        <v>9</v>
      </c>
      <c r="B188" s="160" t="s">
        <v>96</v>
      </c>
      <c r="C188" s="161" t="str">
        <f t="shared" si="31"/>
        <v>RUFO</v>
      </c>
      <c r="D188" s="162">
        <f>D181</f>
        <v>15.8</v>
      </c>
      <c r="E188" s="161" t="s">
        <v>6</v>
      </c>
      <c r="F188" s="162">
        <f>$G$30</f>
        <v>40.5</v>
      </c>
      <c r="G188" s="196">
        <f>$H$30</f>
        <v>8</v>
      </c>
      <c r="H188" s="164">
        <f t="shared" si="32"/>
        <v>766.30000000000007</v>
      </c>
      <c r="I188" s="165">
        <f t="shared" si="33"/>
        <v>996.19000000000017</v>
      </c>
      <c r="J188" s="166"/>
    </row>
    <row r="189" spans="1:10">
      <c r="A189" s="141">
        <v>10</v>
      </c>
      <c r="B189" s="167" t="s">
        <v>97</v>
      </c>
      <c r="C189" s="151" t="str">
        <f t="shared" si="31"/>
        <v>CALHA</v>
      </c>
      <c r="D189" s="168">
        <f>J72</f>
        <v>0</v>
      </c>
      <c r="E189" s="151" t="s">
        <v>6</v>
      </c>
      <c r="F189" s="168">
        <f>$G$33</f>
        <v>75</v>
      </c>
      <c r="G189" s="197">
        <f>$H$33</f>
        <v>15</v>
      </c>
      <c r="H189" s="169">
        <f t="shared" si="32"/>
        <v>0</v>
      </c>
      <c r="I189" s="170">
        <f t="shared" si="33"/>
        <v>0</v>
      </c>
      <c r="J189" s="171"/>
    </row>
    <row r="190" spans="1:10">
      <c r="A190" s="141"/>
      <c r="B190" s="172"/>
      <c r="C190" s="172"/>
      <c r="D190" s="172"/>
      <c r="E190" s="172"/>
      <c r="F190" s="173"/>
      <c r="G190" s="173"/>
      <c r="H190" s="173"/>
      <c r="I190" s="173"/>
      <c r="J190" s="166"/>
    </row>
    <row r="191" spans="1:10">
      <c r="A191" s="141"/>
      <c r="B191" s="142" t="s">
        <v>66</v>
      </c>
      <c r="C191" s="143" t="s">
        <v>98</v>
      </c>
      <c r="D191" s="144" t="s">
        <v>78</v>
      </c>
      <c r="E191" s="144" t="s">
        <v>104</v>
      </c>
      <c r="F191" s="145" t="s">
        <v>106</v>
      </c>
      <c r="G191" s="145" t="s">
        <v>107</v>
      </c>
      <c r="H191" s="145" t="s">
        <v>108</v>
      </c>
      <c r="I191" s="146" t="s">
        <v>108</v>
      </c>
      <c r="J191" s="147" t="s">
        <v>80</v>
      </c>
    </row>
    <row r="192" spans="1:10">
      <c r="A192" s="141"/>
      <c r="B192" s="148">
        <v>11</v>
      </c>
      <c r="C192" s="174" t="str">
        <f>VLOOKUP(B192,$B$41:$J$57,2)</f>
        <v>PROF. MATEM. [BLOCO DE SALAS 1 A 6]</v>
      </c>
      <c r="D192" s="150"/>
      <c r="E192" s="151"/>
      <c r="F192" s="152" t="s">
        <v>105</v>
      </c>
      <c r="G192" s="152" t="s">
        <v>105</v>
      </c>
      <c r="H192" s="152" t="s">
        <v>109</v>
      </c>
      <c r="I192" s="153" t="s">
        <v>110</v>
      </c>
      <c r="J192" s="154">
        <f>SUM(I193:I202)</f>
        <v>9353.8119999999999</v>
      </c>
    </row>
    <row r="193" spans="1:10">
      <c r="A193" s="141">
        <v>1</v>
      </c>
      <c r="B193" s="142" t="s">
        <v>70</v>
      </c>
      <c r="C193" s="144" t="str">
        <f t="shared" ref="C193:C202" si="34">VLOOKUP(A193,$A$5:$J$33,3)</f>
        <v>REMOÇÃO DE TELHAS</v>
      </c>
      <c r="D193" s="156">
        <f>$F$51</f>
        <v>122.99999999999999</v>
      </c>
      <c r="E193" s="144" t="s">
        <v>7</v>
      </c>
      <c r="F193" s="144">
        <f>$G$6</f>
        <v>1</v>
      </c>
      <c r="G193" s="145">
        <f>$H$6</f>
        <v>2</v>
      </c>
      <c r="H193" s="157">
        <f>(G193+F193)*D193</f>
        <v>368.99999999999994</v>
      </c>
      <c r="I193" s="158">
        <f>($I$2+1)*H193</f>
        <v>479.69999999999993</v>
      </c>
      <c r="J193" s="159"/>
    </row>
    <row r="194" spans="1:10">
      <c r="A194" s="141">
        <v>2</v>
      </c>
      <c r="B194" s="160" t="s">
        <v>71</v>
      </c>
      <c r="C194" s="161" t="str">
        <f t="shared" si="34"/>
        <v>REMOÇÃO DE CALHAS E RUFOS</v>
      </c>
      <c r="D194" s="162">
        <f>$I$51</f>
        <v>0</v>
      </c>
      <c r="E194" s="161" t="s">
        <v>6</v>
      </c>
      <c r="F194" s="161">
        <f>$G$9</f>
        <v>1</v>
      </c>
      <c r="G194" s="163">
        <f>$H$9</f>
        <v>2.2000000000000002</v>
      </c>
      <c r="H194" s="164">
        <f t="shared" ref="H194:H202" si="35">(F194+G194)*D194</f>
        <v>0</v>
      </c>
      <c r="I194" s="165">
        <f t="shared" ref="I194:I202" si="36">($I$2+1)*H194</f>
        <v>0</v>
      </c>
      <c r="J194" s="166"/>
    </row>
    <row r="195" spans="1:10">
      <c r="A195" s="141">
        <v>3</v>
      </c>
      <c r="B195" s="160" t="s">
        <v>72</v>
      </c>
      <c r="C195" s="161" t="str">
        <f t="shared" si="34"/>
        <v>REMOÇÃO DE ESTRUTURA DE MADEIRA</v>
      </c>
      <c r="D195" s="162">
        <v>0</v>
      </c>
      <c r="E195" s="161" t="s">
        <v>7</v>
      </c>
      <c r="F195" s="161">
        <f>$G$12</f>
        <v>2</v>
      </c>
      <c r="G195" s="163">
        <f>$H$12</f>
        <v>7.7</v>
      </c>
      <c r="H195" s="164">
        <f t="shared" si="35"/>
        <v>0</v>
      </c>
      <c r="I195" s="165">
        <f t="shared" si="36"/>
        <v>0</v>
      </c>
      <c r="J195" s="166"/>
    </row>
    <row r="196" spans="1:10">
      <c r="A196" s="141">
        <v>4</v>
      </c>
      <c r="B196" s="160" t="s">
        <v>73</v>
      </c>
      <c r="C196" s="161" t="str">
        <f t="shared" si="34"/>
        <v>EMBOÇO NA PLATIBANDA</v>
      </c>
      <c r="D196" s="162">
        <f>E55*0.5</f>
        <v>4</v>
      </c>
      <c r="E196" s="161" t="s">
        <v>7</v>
      </c>
      <c r="F196" s="161">
        <f>$G$15</f>
        <v>13.5</v>
      </c>
      <c r="G196" s="163">
        <f>$H$15</f>
        <v>14</v>
      </c>
      <c r="H196" s="164">
        <f t="shared" si="35"/>
        <v>110</v>
      </c>
      <c r="I196" s="165">
        <f t="shared" si="36"/>
        <v>143</v>
      </c>
      <c r="J196" s="166"/>
    </row>
    <row r="197" spans="1:10">
      <c r="A197" s="141">
        <v>5</v>
      </c>
      <c r="B197" s="160" t="s">
        <v>74</v>
      </c>
      <c r="C197" s="161" t="str">
        <f t="shared" si="34"/>
        <v>MADEIRAMENTO</v>
      </c>
      <c r="D197" s="162">
        <v>0</v>
      </c>
      <c r="E197" s="161" t="s">
        <v>7</v>
      </c>
      <c r="F197" s="161">
        <f>$G$18</f>
        <v>7.5</v>
      </c>
      <c r="G197" s="163">
        <f>$H$18</f>
        <v>2.5</v>
      </c>
      <c r="H197" s="164">
        <f t="shared" si="35"/>
        <v>0</v>
      </c>
      <c r="I197" s="165">
        <f t="shared" si="36"/>
        <v>0</v>
      </c>
      <c r="J197" s="166"/>
    </row>
    <row r="198" spans="1:10">
      <c r="A198" s="141">
        <v>6</v>
      </c>
      <c r="B198" s="160" t="s">
        <v>75</v>
      </c>
      <c r="C198" s="161" t="str">
        <f t="shared" si="34"/>
        <v>BEIRAL EM FORRO DE PVC</v>
      </c>
      <c r="D198" s="162">
        <f>D55+E55</f>
        <v>19.8</v>
      </c>
      <c r="E198" s="161" t="s">
        <v>7</v>
      </c>
      <c r="F198" s="161">
        <f>$G$21</f>
        <v>29</v>
      </c>
      <c r="G198" s="163">
        <f>$H$21</f>
        <v>20</v>
      </c>
      <c r="H198" s="164">
        <f t="shared" si="35"/>
        <v>970.2</v>
      </c>
      <c r="I198" s="165">
        <f t="shared" si="36"/>
        <v>1261.26</v>
      </c>
      <c r="J198" s="166"/>
    </row>
    <row r="199" spans="1:10">
      <c r="A199" s="141">
        <v>7</v>
      </c>
      <c r="B199" s="160" t="s">
        <v>94</v>
      </c>
      <c r="C199" s="161" t="str">
        <f t="shared" si="34"/>
        <v>TELHA</v>
      </c>
      <c r="D199" s="162">
        <f>D193</f>
        <v>122.99999999999999</v>
      </c>
      <c r="E199" s="161" t="s">
        <v>7</v>
      </c>
      <c r="F199" s="161">
        <f>$G$24</f>
        <v>27.5</v>
      </c>
      <c r="G199" s="163">
        <f>$H$24</f>
        <v>3.5</v>
      </c>
      <c r="H199" s="164">
        <f t="shared" si="35"/>
        <v>3812.9999999999995</v>
      </c>
      <c r="I199" s="165">
        <f t="shared" si="36"/>
        <v>4956.8999999999996</v>
      </c>
      <c r="J199" s="166"/>
    </row>
    <row r="200" spans="1:10">
      <c r="A200" s="141">
        <v>8</v>
      </c>
      <c r="B200" s="160" t="s">
        <v>95</v>
      </c>
      <c r="C200" s="161" t="str">
        <f t="shared" si="34"/>
        <v>CUMEEIRA</v>
      </c>
      <c r="D200" s="162">
        <f>G55</f>
        <v>24.8</v>
      </c>
      <c r="E200" s="161" t="s">
        <v>6</v>
      </c>
      <c r="F200" s="161">
        <f>$G$27</f>
        <v>60</v>
      </c>
      <c r="G200" s="163">
        <f>$H$27</f>
        <v>2.2999999999999998</v>
      </c>
      <c r="H200" s="164">
        <f t="shared" si="35"/>
        <v>1545.04</v>
      </c>
      <c r="I200" s="165">
        <f t="shared" si="36"/>
        <v>2008.5520000000001</v>
      </c>
      <c r="J200" s="166"/>
    </row>
    <row r="201" spans="1:10">
      <c r="A201" s="141">
        <v>9</v>
      </c>
      <c r="B201" s="160" t="s">
        <v>96</v>
      </c>
      <c r="C201" s="161" t="str">
        <f t="shared" si="34"/>
        <v>RUFO</v>
      </c>
      <c r="D201" s="162">
        <f>E55</f>
        <v>8</v>
      </c>
      <c r="E201" s="161" t="s">
        <v>6</v>
      </c>
      <c r="F201" s="162">
        <f>$G$30</f>
        <v>40.5</v>
      </c>
      <c r="G201" s="196">
        <f>$H$30</f>
        <v>8</v>
      </c>
      <c r="H201" s="164">
        <f t="shared" si="35"/>
        <v>388</v>
      </c>
      <c r="I201" s="165">
        <f t="shared" si="36"/>
        <v>504.40000000000003</v>
      </c>
      <c r="J201" s="166"/>
    </row>
    <row r="202" spans="1:10">
      <c r="A202" s="141">
        <v>10</v>
      </c>
      <c r="B202" s="167" t="s">
        <v>97</v>
      </c>
      <c r="C202" s="151" t="str">
        <f t="shared" si="34"/>
        <v>CALHA</v>
      </c>
      <c r="D202" s="168">
        <v>0</v>
      </c>
      <c r="E202" s="151" t="s">
        <v>6</v>
      </c>
      <c r="F202" s="168">
        <f>$G$33</f>
        <v>75</v>
      </c>
      <c r="G202" s="197">
        <f>$H$33</f>
        <v>15</v>
      </c>
      <c r="H202" s="169">
        <f t="shared" si="35"/>
        <v>0</v>
      </c>
      <c r="I202" s="170">
        <f t="shared" si="36"/>
        <v>0</v>
      </c>
      <c r="J202" s="171"/>
    </row>
    <row r="203" spans="1:10">
      <c r="A203" s="141"/>
      <c r="B203" s="172"/>
      <c r="C203" s="172"/>
      <c r="D203" s="172"/>
      <c r="E203" s="172"/>
      <c r="F203" s="173"/>
      <c r="G203" s="173"/>
      <c r="H203" s="173"/>
      <c r="I203" s="173"/>
      <c r="J203" s="166"/>
    </row>
    <row r="204" spans="1:10">
      <c r="A204" s="141"/>
      <c r="B204" s="142" t="s">
        <v>66</v>
      </c>
      <c r="C204" s="143" t="s">
        <v>98</v>
      </c>
      <c r="D204" s="144" t="s">
        <v>78</v>
      </c>
      <c r="E204" s="144" t="s">
        <v>104</v>
      </c>
      <c r="F204" s="145" t="s">
        <v>106</v>
      </c>
      <c r="G204" s="145" t="s">
        <v>107</v>
      </c>
      <c r="H204" s="145" t="s">
        <v>108</v>
      </c>
      <c r="I204" s="146" t="s">
        <v>108</v>
      </c>
      <c r="J204" s="147" t="s">
        <v>80</v>
      </c>
    </row>
    <row r="205" spans="1:10">
      <c r="A205" s="141"/>
      <c r="B205" s="148">
        <v>12</v>
      </c>
      <c r="C205" s="174" t="str">
        <f>VLOOKUP(B205,$B$41:$J$57,2)</f>
        <v>HALL , ESCADA [ANEXO BIBLIOTECA]</v>
      </c>
      <c r="D205" s="150"/>
      <c r="E205" s="151"/>
      <c r="F205" s="152" t="s">
        <v>105</v>
      </c>
      <c r="G205" s="152" t="s">
        <v>105</v>
      </c>
      <c r="H205" s="152" t="s">
        <v>109</v>
      </c>
      <c r="I205" s="153" t="s">
        <v>110</v>
      </c>
      <c r="J205" s="154">
        <f>SUM(I206:I215)</f>
        <v>2694.25</v>
      </c>
    </row>
    <row r="206" spans="1:10">
      <c r="A206" s="141">
        <v>1</v>
      </c>
      <c r="B206" s="142" t="s">
        <v>70</v>
      </c>
      <c r="C206" s="144" t="str">
        <f t="shared" ref="C206:C215" si="37">VLOOKUP(A206,$A$5:$J$33,3)</f>
        <v>REMOÇÃO DE TELHAS</v>
      </c>
      <c r="D206" s="156">
        <v>0</v>
      </c>
      <c r="E206" s="144" t="s">
        <v>7</v>
      </c>
      <c r="F206" s="144">
        <f>$G$6</f>
        <v>1</v>
      </c>
      <c r="G206" s="145">
        <f>$H$6</f>
        <v>2</v>
      </c>
      <c r="H206" s="157">
        <f>(G206+F206)*D206</f>
        <v>0</v>
      </c>
      <c r="I206" s="158">
        <f>($I$2+1)*H206</f>
        <v>0</v>
      </c>
      <c r="J206" s="159"/>
    </row>
    <row r="207" spans="1:10">
      <c r="A207" s="141">
        <v>2</v>
      </c>
      <c r="B207" s="160" t="s">
        <v>71</v>
      </c>
      <c r="C207" s="161" t="str">
        <f t="shared" si="37"/>
        <v>REMOÇÃO DE CALHAS E RUFOS</v>
      </c>
      <c r="D207" s="162">
        <v>0</v>
      </c>
      <c r="E207" s="161" t="s">
        <v>6</v>
      </c>
      <c r="F207" s="161">
        <f>$G$9</f>
        <v>1</v>
      </c>
      <c r="G207" s="163">
        <f>$H$9</f>
        <v>2.2000000000000002</v>
      </c>
      <c r="H207" s="164">
        <f t="shared" ref="H207:H215" si="38">(F207+G207)*D207</f>
        <v>0</v>
      </c>
      <c r="I207" s="165">
        <f t="shared" ref="I207:I215" si="39">($I$2+1)*H207</f>
        <v>0</v>
      </c>
      <c r="J207" s="166"/>
    </row>
    <row r="208" spans="1:10">
      <c r="A208" s="141">
        <v>3</v>
      </c>
      <c r="B208" s="160" t="s">
        <v>72</v>
      </c>
      <c r="C208" s="161" t="str">
        <f t="shared" si="37"/>
        <v>REMOÇÃO DE ESTRUTURA DE MADEIRA</v>
      </c>
      <c r="D208" s="162">
        <v>0</v>
      </c>
      <c r="E208" s="161" t="s">
        <v>7</v>
      </c>
      <c r="F208" s="161">
        <f>$G$12</f>
        <v>2</v>
      </c>
      <c r="G208" s="163">
        <f>$H$12</f>
        <v>7.7</v>
      </c>
      <c r="H208" s="164">
        <f t="shared" si="38"/>
        <v>0</v>
      </c>
      <c r="I208" s="165">
        <f t="shared" si="39"/>
        <v>0</v>
      </c>
      <c r="J208" s="166"/>
    </row>
    <row r="209" spans="1:10">
      <c r="A209" s="141">
        <v>4</v>
      </c>
      <c r="B209" s="160" t="s">
        <v>73</v>
      </c>
      <c r="C209" s="161" t="str">
        <f t="shared" si="37"/>
        <v>EMBOÇO NA PLATIBANDA</v>
      </c>
      <c r="D209" s="162">
        <v>0</v>
      </c>
      <c r="E209" s="161" t="s">
        <v>7</v>
      </c>
      <c r="F209" s="161">
        <f>$G$15</f>
        <v>13.5</v>
      </c>
      <c r="G209" s="163">
        <f>$H$15</f>
        <v>14</v>
      </c>
      <c r="H209" s="164">
        <f t="shared" si="38"/>
        <v>0</v>
      </c>
      <c r="I209" s="165">
        <f t="shared" si="39"/>
        <v>0</v>
      </c>
      <c r="J209" s="166"/>
    </row>
    <row r="210" spans="1:10">
      <c r="A210" s="141">
        <v>5</v>
      </c>
      <c r="B210" s="160" t="s">
        <v>74</v>
      </c>
      <c r="C210" s="161" t="str">
        <f t="shared" si="37"/>
        <v>MADEIRAMENTO</v>
      </c>
      <c r="D210" s="162">
        <v>0</v>
      </c>
      <c r="E210" s="161" t="s">
        <v>7</v>
      </c>
      <c r="F210" s="161">
        <f>$G$18</f>
        <v>7.5</v>
      </c>
      <c r="G210" s="163">
        <f>$H$18</f>
        <v>2.5</v>
      </c>
      <c r="H210" s="164">
        <f t="shared" si="38"/>
        <v>0</v>
      </c>
      <c r="I210" s="165">
        <f t="shared" si="39"/>
        <v>0</v>
      </c>
      <c r="J210" s="166"/>
    </row>
    <row r="211" spans="1:10">
      <c r="A211" s="141">
        <v>6</v>
      </c>
      <c r="B211" s="160" t="s">
        <v>75</v>
      </c>
      <c r="C211" s="161" t="str">
        <f t="shared" si="37"/>
        <v>BEIRAL EM FORRO DE PVC</v>
      </c>
      <c r="D211" s="162">
        <f>26.5</f>
        <v>26.5</v>
      </c>
      <c r="E211" s="161" t="s">
        <v>7</v>
      </c>
      <c r="F211" s="161">
        <f>$G$21</f>
        <v>29</v>
      </c>
      <c r="G211" s="163">
        <f>$H$21</f>
        <v>20</v>
      </c>
      <c r="H211" s="164">
        <f t="shared" si="38"/>
        <v>1298.5</v>
      </c>
      <c r="I211" s="165">
        <f t="shared" si="39"/>
        <v>1688.05</v>
      </c>
      <c r="J211" s="166"/>
    </row>
    <row r="212" spans="1:10">
      <c r="A212" s="141">
        <v>7</v>
      </c>
      <c r="B212" s="160" t="s">
        <v>94</v>
      </c>
      <c r="C212" s="161" t="str">
        <f t="shared" si="37"/>
        <v>TELHA</v>
      </c>
      <c r="D212" s="162">
        <f>D206</f>
        <v>0</v>
      </c>
      <c r="E212" s="161" t="s">
        <v>7</v>
      </c>
      <c r="F212" s="161">
        <f>$G$24</f>
        <v>27.5</v>
      </c>
      <c r="G212" s="163">
        <f>$H$24</f>
        <v>3.5</v>
      </c>
      <c r="H212" s="164">
        <f t="shared" si="38"/>
        <v>0</v>
      </c>
      <c r="I212" s="165">
        <f t="shared" si="39"/>
        <v>0</v>
      </c>
      <c r="J212" s="166"/>
    </row>
    <row r="213" spans="1:10">
      <c r="A213" s="141">
        <v>8</v>
      </c>
      <c r="B213" s="160" t="s">
        <v>95</v>
      </c>
      <c r="C213" s="161" t="str">
        <f t="shared" si="37"/>
        <v>CUMEEIRA</v>
      </c>
      <c r="D213" s="162">
        <v>0</v>
      </c>
      <c r="E213" s="161" t="s">
        <v>6</v>
      </c>
      <c r="F213" s="161">
        <f>$G$27</f>
        <v>60</v>
      </c>
      <c r="G213" s="163">
        <f>$H$27</f>
        <v>2.2999999999999998</v>
      </c>
      <c r="H213" s="164">
        <f t="shared" si="38"/>
        <v>0</v>
      </c>
      <c r="I213" s="165">
        <f t="shared" si="39"/>
        <v>0</v>
      </c>
      <c r="J213" s="166"/>
    </row>
    <row r="214" spans="1:10">
      <c r="A214" s="141">
        <v>9</v>
      </c>
      <c r="B214" s="160" t="s">
        <v>96</v>
      </c>
      <c r="C214" s="161" t="str">
        <f t="shared" si="37"/>
        <v>RUFO</v>
      </c>
      <c r="D214" s="162">
        <v>0</v>
      </c>
      <c r="E214" s="161" t="s">
        <v>6</v>
      </c>
      <c r="F214" s="162">
        <f>$G$30</f>
        <v>40.5</v>
      </c>
      <c r="G214" s="196">
        <f>$H$30</f>
        <v>8</v>
      </c>
      <c r="H214" s="164">
        <f t="shared" si="38"/>
        <v>0</v>
      </c>
      <c r="I214" s="165">
        <f t="shared" si="39"/>
        <v>0</v>
      </c>
      <c r="J214" s="166"/>
    </row>
    <row r="215" spans="1:10">
      <c r="A215" s="141">
        <v>10</v>
      </c>
      <c r="B215" s="167" t="s">
        <v>97</v>
      </c>
      <c r="C215" s="151" t="str">
        <f t="shared" si="37"/>
        <v>CALHA</v>
      </c>
      <c r="D215" s="168">
        <f>8.6</f>
        <v>8.6</v>
      </c>
      <c r="E215" s="151" t="s">
        <v>6</v>
      </c>
      <c r="F215" s="168">
        <f>$G$33</f>
        <v>75</v>
      </c>
      <c r="G215" s="197">
        <f>$H$33</f>
        <v>15</v>
      </c>
      <c r="H215" s="169">
        <f t="shared" si="38"/>
        <v>774</v>
      </c>
      <c r="I215" s="170">
        <f t="shared" si="39"/>
        <v>1006.2</v>
      </c>
      <c r="J215" s="171"/>
    </row>
    <row r="216" spans="1:10">
      <c r="A216" s="141"/>
      <c r="B216" s="172"/>
      <c r="C216" s="172"/>
      <c r="D216" s="172"/>
      <c r="E216" s="172"/>
      <c r="F216" s="173"/>
      <c r="G216" s="173"/>
      <c r="H216" s="173"/>
      <c r="I216" s="173"/>
      <c r="J216" s="166"/>
    </row>
    <row r="217" spans="1:10">
      <c r="A217" s="141"/>
      <c r="B217" s="142" t="s">
        <v>66</v>
      </c>
      <c r="C217" s="143" t="s">
        <v>98</v>
      </c>
      <c r="D217" s="144" t="s">
        <v>78</v>
      </c>
      <c r="E217" s="144" t="s">
        <v>104</v>
      </c>
      <c r="F217" s="145" t="s">
        <v>106</v>
      </c>
      <c r="G217" s="145" t="s">
        <v>107</v>
      </c>
      <c r="H217" s="145" t="s">
        <v>108</v>
      </c>
      <c r="I217" s="146" t="s">
        <v>108</v>
      </c>
      <c r="J217" s="147" t="s">
        <v>80</v>
      </c>
    </row>
    <row r="218" spans="1:10">
      <c r="A218" s="141"/>
      <c r="B218" s="148">
        <v>13</v>
      </c>
      <c r="C218" s="174" t="str">
        <f>VLOOKUP(B218,$B$41:$J$57,2)</f>
        <v>SALA 7 A 11 [SUPERIOR BIBLIOTECA]</v>
      </c>
      <c r="D218" s="150"/>
      <c r="E218" s="151"/>
      <c r="F218" s="152" t="s">
        <v>105</v>
      </c>
      <c r="G218" s="152" t="s">
        <v>105</v>
      </c>
      <c r="H218" s="152" t="s">
        <v>109</v>
      </c>
      <c r="I218" s="153" t="s">
        <v>110</v>
      </c>
      <c r="J218" s="154">
        <f>SUM(I219:I228)</f>
        <v>8433.880000000001</v>
      </c>
    </row>
    <row r="219" spans="1:10">
      <c r="A219" s="141">
        <v>1</v>
      </c>
      <c r="B219" s="142" t="s">
        <v>70</v>
      </c>
      <c r="C219" s="144" t="str">
        <f t="shared" ref="C219:C228" si="40">VLOOKUP(A219,$A$5:$J$33,3)</f>
        <v>REMOÇÃO DE TELHAS</v>
      </c>
      <c r="D219" s="156">
        <v>0</v>
      </c>
      <c r="E219" s="144" t="s">
        <v>7</v>
      </c>
      <c r="F219" s="144">
        <f>$G$6</f>
        <v>1</v>
      </c>
      <c r="G219" s="145">
        <f>$H$6</f>
        <v>2</v>
      </c>
      <c r="H219" s="157">
        <f>(G219+F219)*D219</f>
        <v>0</v>
      </c>
      <c r="I219" s="158">
        <f>($I$2+1)*H219</f>
        <v>0</v>
      </c>
      <c r="J219" s="159"/>
    </row>
    <row r="220" spans="1:10">
      <c r="A220" s="141">
        <v>2</v>
      </c>
      <c r="B220" s="160" t="s">
        <v>71</v>
      </c>
      <c r="C220" s="161" t="str">
        <f t="shared" si="40"/>
        <v>REMOÇÃO DE CALHAS E RUFOS</v>
      </c>
      <c r="D220" s="162">
        <v>0</v>
      </c>
      <c r="E220" s="161" t="s">
        <v>6</v>
      </c>
      <c r="F220" s="161">
        <f>$G$9</f>
        <v>1</v>
      </c>
      <c r="G220" s="163">
        <f>$H$9</f>
        <v>2.2000000000000002</v>
      </c>
      <c r="H220" s="164">
        <f t="shared" ref="H220:H228" si="41">(F220+G220)*D220</f>
        <v>0</v>
      </c>
      <c r="I220" s="165">
        <f t="shared" ref="I220:I228" si="42">($I$2+1)*H220</f>
        <v>0</v>
      </c>
      <c r="J220" s="166"/>
    </row>
    <row r="221" spans="1:10">
      <c r="A221" s="141">
        <v>3</v>
      </c>
      <c r="B221" s="160" t="s">
        <v>72</v>
      </c>
      <c r="C221" s="161" t="str">
        <f t="shared" si="40"/>
        <v>REMOÇÃO DE ESTRUTURA DE MADEIRA</v>
      </c>
      <c r="D221" s="162">
        <v>0</v>
      </c>
      <c r="E221" s="161" t="s">
        <v>7</v>
      </c>
      <c r="F221" s="161">
        <f>$G$12</f>
        <v>2</v>
      </c>
      <c r="G221" s="163">
        <f>$H$12</f>
        <v>7.7</v>
      </c>
      <c r="H221" s="164">
        <f t="shared" si="41"/>
        <v>0</v>
      </c>
      <c r="I221" s="165">
        <f t="shared" si="42"/>
        <v>0</v>
      </c>
      <c r="J221" s="166"/>
    </row>
    <row r="222" spans="1:10">
      <c r="A222" s="141">
        <v>4</v>
      </c>
      <c r="B222" s="160" t="s">
        <v>73</v>
      </c>
      <c r="C222" s="161" t="str">
        <f t="shared" si="40"/>
        <v>EMBOÇO NA PLATIBANDA</v>
      </c>
      <c r="D222" s="162">
        <v>0</v>
      </c>
      <c r="E222" s="161" t="s">
        <v>7</v>
      </c>
      <c r="F222" s="161">
        <f>$G$15</f>
        <v>13.5</v>
      </c>
      <c r="G222" s="163">
        <f>$H$15</f>
        <v>14</v>
      </c>
      <c r="H222" s="164">
        <f t="shared" si="41"/>
        <v>0</v>
      </c>
      <c r="I222" s="165">
        <f t="shared" si="42"/>
        <v>0</v>
      </c>
      <c r="J222" s="166"/>
    </row>
    <row r="223" spans="1:10">
      <c r="A223" s="141">
        <v>5</v>
      </c>
      <c r="B223" s="160" t="s">
        <v>74</v>
      </c>
      <c r="C223" s="161" t="str">
        <f t="shared" si="40"/>
        <v>MADEIRAMENTO</v>
      </c>
      <c r="D223" s="162">
        <v>0</v>
      </c>
      <c r="E223" s="161" t="s">
        <v>7</v>
      </c>
      <c r="F223" s="161">
        <f>$G$18</f>
        <v>7.5</v>
      </c>
      <c r="G223" s="163">
        <f>$H$18</f>
        <v>2.5</v>
      </c>
      <c r="H223" s="164">
        <f t="shared" si="41"/>
        <v>0</v>
      </c>
      <c r="I223" s="165">
        <f t="shared" si="42"/>
        <v>0</v>
      </c>
      <c r="J223" s="166"/>
    </row>
    <row r="224" spans="1:10">
      <c r="A224" s="141">
        <v>6</v>
      </c>
      <c r="B224" s="160" t="s">
        <v>75</v>
      </c>
      <c r="C224" s="161" t="str">
        <f t="shared" si="40"/>
        <v>BEIRAL EM FORRO DE PVC</v>
      </c>
      <c r="D224" s="162">
        <f>(D53+E53)*2</f>
        <v>132.4</v>
      </c>
      <c r="E224" s="161" t="s">
        <v>7</v>
      </c>
      <c r="F224" s="161">
        <f>$G$21</f>
        <v>29</v>
      </c>
      <c r="G224" s="163">
        <f>$H$21</f>
        <v>20</v>
      </c>
      <c r="H224" s="164">
        <f t="shared" si="41"/>
        <v>6487.6</v>
      </c>
      <c r="I224" s="165">
        <f t="shared" si="42"/>
        <v>8433.880000000001</v>
      </c>
      <c r="J224" s="166"/>
    </row>
    <row r="225" spans="1:10">
      <c r="A225" s="141">
        <v>7</v>
      </c>
      <c r="B225" s="160" t="s">
        <v>94</v>
      </c>
      <c r="C225" s="161" t="str">
        <f t="shared" si="40"/>
        <v>TELHA</v>
      </c>
      <c r="D225" s="162">
        <v>0</v>
      </c>
      <c r="E225" s="161" t="s">
        <v>7</v>
      </c>
      <c r="F225" s="161">
        <f>$G$24</f>
        <v>27.5</v>
      </c>
      <c r="G225" s="163">
        <f>$H$24</f>
        <v>3.5</v>
      </c>
      <c r="H225" s="164">
        <f t="shared" si="41"/>
        <v>0</v>
      </c>
      <c r="I225" s="165">
        <f t="shared" si="42"/>
        <v>0</v>
      </c>
      <c r="J225" s="166"/>
    </row>
    <row r="226" spans="1:10">
      <c r="A226" s="141">
        <v>8</v>
      </c>
      <c r="B226" s="160" t="s">
        <v>95</v>
      </c>
      <c r="C226" s="161" t="str">
        <f t="shared" si="40"/>
        <v>CUMEEIRA</v>
      </c>
      <c r="D226" s="162">
        <v>0</v>
      </c>
      <c r="E226" s="161" t="s">
        <v>6</v>
      </c>
      <c r="F226" s="161">
        <f>$G$27</f>
        <v>60</v>
      </c>
      <c r="G226" s="163">
        <f>$H$27</f>
        <v>2.2999999999999998</v>
      </c>
      <c r="H226" s="164">
        <f t="shared" si="41"/>
        <v>0</v>
      </c>
      <c r="I226" s="165">
        <f t="shared" si="42"/>
        <v>0</v>
      </c>
      <c r="J226" s="166"/>
    </row>
    <row r="227" spans="1:10">
      <c r="A227" s="141">
        <v>9</v>
      </c>
      <c r="B227" s="160" t="s">
        <v>96</v>
      </c>
      <c r="C227" s="161" t="str">
        <f t="shared" si="40"/>
        <v>RUFO</v>
      </c>
      <c r="D227" s="162">
        <v>0</v>
      </c>
      <c r="E227" s="161" t="s">
        <v>6</v>
      </c>
      <c r="F227" s="162">
        <f>$G$30</f>
        <v>40.5</v>
      </c>
      <c r="G227" s="196">
        <f>$H$30</f>
        <v>8</v>
      </c>
      <c r="H227" s="164">
        <f t="shared" si="41"/>
        <v>0</v>
      </c>
      <c r="I227" s="165">
        <f t="shared" si="42"/>
        <v>0</v>
      </c>
      <c r="J227" s="166"/>
    </row>
    <row r="228" spans="1:10">
      <c r="A228" s="141">
        <v>10</v>
      </c>
      <c r="B228" s="167" t="s">
        <v>97</v>
      </c>
      <c r="C228" s="151" t="str">
        <f t="shared" si="40"/>
        <v>CALHA</v>
      </c>
      <c r="D228" s="168">
        <v>0</v>
      </c>
      <c r="E228" s="151" t="s">
        <v>6</v>
      </c>
      <c r="F228" s="168">
        <f>$G$33</f>
        <v>75</v>
      </c>
      <c r="G228" s="197">
        <f>$H$33</f>
        <v>15</v>
      </c>
      <c r="H228" s="169">
        <f t="shared" si="41"/>
        <v>0</v>
      </c>
      <c r="I228" s="170">
        <f t="shared" si="42"/>
        <v>0</v>
      </c>
      <c r="J228" s="171"/>
    </row>
    <row r="229" spans="1:10">
      <c r="A229" s="141"/>
      <c r="B229" s="172"/>
      <c r="C229" s="172"/>
      <c r="D229" s="172"/>
      <c r="E229" s="172"/>
      <c r="F229" s="173"/>
      <c r="G229" s="173"/>
      <c r="H229" s="173"/>
      <c r="I229" s="173"/>
      <c r="J229" s="166"/>
    </row>
    <row r="230" spans="1:10">
      <c r="A230" s="141"/>
      <c r="B230" s="142" t="s">
        <v>66</v>
      </c>
      <c r="C230" s="143" t="s">
        <v>98</v>
      </c>
      <c r="D230" s="144" t="s">
        <v>78</v>
      </c>
      <c r="E230" s="144" t="s">
        <v>104</v>
      </c>
      <c r="F230" s="145" t="s">
        <v>106</v>
      </c>
      <c r="G230" s="145" t="s">
        <v>107</v>
      </c>
      <c r="H230" s="145" t="s">
        <v>108</v>
      </c>
      <c r="I230" s="146" t="s">
        <v>108</v>
      </c>
      <c r="J230" s="147" t="s">
        <v>80</v>
      </c>
    </row>
    <row r="231" spans="1:10">
      <c r="A231" s="141"/>
      <c r="B231" s="148">
        <v>14</v>
      </c>
      <c r="C231" s="174" t="str">
        <f>VLOOKUP(B231,$B$41:$J$57,2)</f>
        <v>GRAFICA</v>
      </c>
      <c r="D231" s="150"/>
      <c r="E231" s="151"/>
      <c r="F231" s="152" t="s">
        <v>105</v>
      </c>
      <c r="G231" s="152" t="s">
        <v>105</v>
      </c>
      <c r="H231" s="152" t="s">
        <v>109</v>
      </c>
      <c r="I231" s="153" t="s">
        <v>110</v>
      </c>
      <c r="J231" s="154">
        <f>SUM(I232:I241)</f>
        <v>7282.2360000000008</v>
      </c>
    </row>
    <row r="232" spans="1:10">
      <c r="A232" s="141">
        <v>1</v>
      </c>
      <c r="B232" s="142" t="s">
        <v>70</v>
      </c>
      <c r="C232" s="144" t="str">
        <f t="shared" ref="C232:C241" si="43">VLOOKUP(A232,$A$5:$J$33,3)</f>
        <v>REMOÇÃO DE TELHAS</v>
      </c>
      <c r="D232" s="156">
        <f>F54</f>
        <v>88.16</v>
      </c>
      <c r="E232" s="144" t="s">
        <v>7</v>
      </c>
      <c r="F232" s="144">
        <f>$G$6</f>
        <v>1</v>
      </c>
      <c r="G232" s="145">
        <f>$H$6</f>
        <v>2</v>
      </c>
      <c r="H232" s="157">
        <f>(G232+F232)*D232</f>
        <v>264.48</v>
      </c>
      <c r="I232" s="158">
        <f>($I$2+1)*H232</f>
        <v>343.82400000000001</v>
      </c>
      <c r="J232" s="159"/>
    </row>
    <row r="233" spans="1:10">
      <c r="A233" s="141">
        <v>2</v>
      </c>
      <c r="B233" s="160" t="s">
        <v>71</v>
      </c>
      <c r="C233" s="161" t="str">
        <f t="shared" si="43"/>
        <v>REMOÇÃO DE CALHAS E RUFOS</v>
      </c>
      <c r="D233" s="162">
        <v>0</v>
      </c>
      <c r="E233" s="161" t="s">
        <v>6</v>
      </c>
      <c r="F233" s="161">
        <f>$G$9</f>
        <v>1</v>
      </c>
      <c r="G233" s="163">
        <f>$H$9</f>
        <v>2.2000000000000002</v>
      </c>
      <c r="H233" s="164">
        <f t="shared" ref="H233:H241" si="44">(F233+G233)*D233</f>
        <v>0</v>
      </c>
      <c r="I233" s="165">
        <f t="shared" ref="I233:I241" si="45">($I$2+1)*H233</f>
        <v>0</v>
      </c>
      <c r="J233" s="166"/>
    </row>
    <row r="234" spans="1:10">
      <c r="A234" s="141">
        <v>3</v>
      </c>
      <c r="B234" s="160" t="s">
        <v>72</v>
      </c>
      <c r="C234" s="161" t="str">
        <f t="shared" si="43"/>
        <v>REMOÇÃO DE ESTRUTURA DE MADEIRA</v>
      </c>
      <c r="D234" s="162">
        <v>0</v>
      </c>
      <c r="E234" s="161" t="s">
        <v>7</v>
      </c>
      <c r="F234" s="161">
        <f>$G$12</f>
        <v>2</v>
      </c>
      <c r="G234" s="163">
        <f>$H$12</f>
        <v>7.7</v>
      </c>
      <c r="H234" s="164">
        <f t="shared" si="44"/>
        <v>0</v>
      </c>
      <c r="I234" s="165">
        <f t="shared" si="45"/>
        <v>0</v>
      </c>
      <c r="J234" s="166"/>
    </row>
    <row r="235" spans="1:10">
      <c r="A235" s="141">
        <v>4</v>
      </c>
      <c r="B235" s="160" t="s">
        <v>73</v>
      </c>
      <c r="C235" s="161" t="str">
        <f t="shared" si="43"/>
        <v>EMBOÇO NA PLATIBANDA</v>
      </c>
      <c r="D235" s="162">
        <v>0</v>
      </c>
      <c r="E235" s="161" t="s">
        <v>7</v>
      </c>
      <c r="F235" s="161">
        <f>$G$15</f>
        <v>13.5</v>
      </c>
      <c r="G235" s="163">
        <f>$H$15</f>
        <v>14</v>
      </c>
      <c r="H235" s="164">
        <f t="shared" si="44"/>
        <v>0</v>
      </c>
      <c r="I235" s="165">
        <f t="shared" si="45"/>
        <v>0</v>
      </c>
      <c r="J235" s="166"/>
    </row>
    <row r="236" spans="1:10">
      <c r="A236" s="141">
        <v>5</v>
      </c>
      <c r="B236" s="160" t="s">
        <v>74</v>
      </c>
      <c r="C236" s="161" t="str">
        <f t="shared" si="43"/>
        <v>MADEIRAMENTO</v>
      </c>
      <c r="D236" s="162">
        <v>0</v>
      </c>
      <c r="E236" s="161" t="s">
        <v>7</v>
      </c>
      <c r="F236" s="161">
        <f>$G$18</f>
        <v>7.5</v>
      </c>
      <c r="G236" s="163">
        <f>$H$18</f>
        <v>2.5</v>
      </c>
      <c r="H236" s="164">
        <f t="shared" si="44"/>
        <v>0</v>
      </c>
      <c r="I236" s="165">
        <f t="shared" si="45"/>
        <v>0</v>
      </c>
      <c r="J236" s="166"/>
    </row>
    <row r="237" spans="1:10">
      <c r="A237" s="141">
        <v>6</v>
      </c>
      <c r="B237" s="160" t="s">
        <v>75</v>
      </c>
      <c r="C237" s="161" t="str">
        <f t="shared" si="43"/>
        <v>BEIRAL EM FORRO DE PVC</v>
      </c>
      <c r="D237" s="162">
        <f>(D54+E54)*2</f>
        <v>38.4</v>
      </c>
      <c r="E237" s="161" t="s">
        <v>7</v>
      </c>
      <c r="F237" s="161">
        <f>$G$21</f>
        <v>29</v>
      </c>
      <c r="G237" s="163">
        <f>$H$21</f>
        <v>20</v>
      </c>
      <c r="H237" s="164">
        <f t="shared" si="44"/>
        <v>1881.6</v>
      </c>
      <c r="I237" s="165">
        <f t="shared" si="45"/>
        <v>2446.08</v>
      </c>
      <c r="J237" s="166"/>
    </row>
    <row r="238" spans="1:10">
      <c r="A238" s="141">
        <v>7</v>
      </c>
      <c r="B238" s="160" t="s">
        <v>94</v>
      </c>
      <c r="C238" s="161" t="str">
        <f t="shared" si="43"/>
        <v>TELHA</v>
      </c>
      <c r="D238" s="162">
        <f>D232</f>
        <v>88.16</v>
      </c>
      <c r="E238" s="161" t="s">
        <v>7</v>
      </c>
      <c r="F238" s="161">
        <f>$G$24</f>
        <v>27.5</v>
      </c>
      <c r="G238" s="163">
        <f>$H$24</f>
        <v>3.5</v>
      </c>
      <c r="H238" s="164">
        <f t="shared" si="44"/>
        <v>2732.96</v>
      </c>
      <c r="I238" s="165">
        <f t="shared" si="45"/>
        <v>3552.848</v>
      </c>
      <c r="J238" s="166"/>
    </row>
    <row r="239" spans="1:10">
      <c r="A239" s="141">
        <v>8</v>
      </c>
      <c r="B239" s="160" t="s">
        <v>95</v>
      </c>
      <c r="C239" s="161" t="str">
        <f t="shared" si="43"/>
        <v>CUMEEIRA</v>
      </c>
      <c r="D239" s="162">
        <f>D54</f>
        <v>11.6</v>
      </c>
      <c r="E239" s="161" t="s">
        <v>6</v>
      </c>
      <c r="F239" s="161">
        <f>$G$27</f>
        <v>60</v>
      </c>
      <c r="G239" s="163">
        <f>$H$27</f>
        <v>2.2999999999999998</v>
      </c>
      <c r="H239" s="164">
        <f t="shared" si="44"/>
        <v>722.68</v>
      </c>
      <c r="I239" s="165">
        <f t="shared" si="45"/>
        <v>939.48399999999992</v>
      </c>
      <c r="J239" s="166"/>
    </row>
    <row r="240" spans="1:10">
      <c r="A240" s="141">
        <v>9</v>
      </c>
      <c r="B240" s="160" t="s">
        <v>96</v>
      </c>
      <c r="C240" s="161" t="str">
        <f t="shared" si="43"/>
        <v>RUFO</v>
      </c>
      <c r="D240" s="162">
        <v>0</v>
      </c>
      <c r="E240" s="161" t="s">
        <v>6</v>
      </c>
      <c r="F240" s="162">
        <f>$G$30</f>
        <v>40.5</v>
      </c>
      <c r="G240" s="196">
        <f>$H$30</f>
        <v>8</v>
      </c>
      <c r="H240" s="164">
        <f t="shared" si="44"/>
        <v>0</v>
      </c>
      <c r="I240" s="165">
        <f t="shared" si="45"/>
        <v>0</v>
      </c>
      <c r="J240" s="166"/>
    </row>
    <row r="241" spans="1:10">
      <c r="A241" s="141">
        <v>10</v>
      </c>
      <c r="B241" s="167" t="s">
        <v>97</v>
      </c>
      <c r="C241" s="151" t="str">
        <f t="shared" si="43"/>
        <v>CALHA</v>
      </c>
      <c r="D241" s="168">
        <v>0</v>
      </c>
      <c r="E241" s="151" t="s">
        <v>6</v>
      </c>
      <c r="F241" s="168">
        <f>$G$33</f>
        <v>75</v>
      </c>
      <c r="G241" s="197">
        <f>$H$33</f>
        <v>15</v>
      </c>
      <c r="H241" s="169">
        <f t="shared" si="44"/>
        <v>0</v>
      </c>
      <c r="I241" s="170">
        <f t="shared" si="45"/>
        <v>0</v>
      </c>
      <c r="J241" s="171"/>
    </row>
    <row r="242" spans="1:10">
      <c r="A242" s="141"/>
      <c r="B242" s="172"/>
      <c r="C242" s="172"/>
      <c r="D242" s="172"/>
      <c r="E242" s="172"/>
      <c r="F242" s="173"/>
      <c r="G242" s="173"/>
      <c r="H242" s="173"/>
      <c r="I242" s="173"/>
      <c r="J242" s="166"/>
    </row>
    <row r="243" spans="1:10">
      <c r="A243" s="141"/>
      <c r="B243" s="142" t="s">
        <v>66</v>
      </c>
      <c r="C243" s="143" t="s">
        <v>98</v>
      </c>
      <c r="D243" s="144" t="s">
        <v>78</v>
      </c>
      <c r="E243" s="144" t="s">
        <v>104</v>
      </c>
      <c r="F243" s="145" t="s">
        <v>106</v>
      </c>
      <c r="G243" s="145" t="s">
        <v>107</v>
      </c>
      <c r="H243" s="145" t="s">
        <v>108</v>
      </c>
      <c r="I243" s="146" t="s">
        <v>108</v>
      </c>
      <c r="J243" s="147" t="s">
        <v>80</v>
      </c>
    </row>
    <row r="244" spans="1:10">
      <c r="A244" s="141"/>
      <c r="B244" s="148">
        <v>15</v>
      </c>
      <c r="C244" s="174" t="str">
        <f>VLOOKUP(B244,$B$41:$J$57,2)</f>
        <v>MATEMAT. -SALA DE PESQUISAS</v>
      </c>
      <c r="D244" s="150"/>
      <c r="E244" s="151"/>
      <c r="F244" s="152" t="s">
        <v>105</v>
      </c>
      <c r="G244" s="152" t="s">
        <v>105</v>
      </c>
      <c r="H244" s="152" t="s">
        <v>109</v>
      </c>
      <c r="I244" s="153" t="s">
        <v>110</v>
      </c>
      <c r="J244" s="154">
        <f>SUM(I245:I254)</f>
        <v>13475.748</v>
      </c>
    </row>
    <row r="245" spans="1:10">
      <c r="A245" s="141">
        <v>1</v>
      </c>
      <c r="B245" s="142" t="s">
        <v>70</v>
      </c>
      <c r="C245" s="144" t="str">
        <f t="shared" ref="C245:C254" si="46">VLOOKUP(A245,$A$5:$J$33,3)</f>
        <v>REMOÇÃO DE TELHAS</v>
      </c>
      <c r="D245" s="156">
        <f>F55</f>
        <v>94.4</v>
      </c>
      <c r="E245" s="144" t="s">
        <v>7</v>
      </c>
      <c r="F245" s="144">
        <f>$G$6</f>
        <v>1</v>
      </c>
      <c r="G245" s="145">
        <f>$H$6</f>
        <v>2</v>
      </c>
      <c r="H245" s="157">
        <f>(G245+F245)*D245</f>
        <v>283.20000000000005</v>
      </c>
      <c r="I245" s="158">
        <f>($I$2+1)*H245</f>
        <v>368.16000000000008</v>
      </c>
      <c r="J245" s="159"/>
    </row>
    <row r="246" spans="1:10">
      <c r="A246" s="141">
        <v>2</v>
      </c>
      <c r="B246" s="160" t="s">
        <v>71</v>
      </c>
      <c r="C246" s="161" t="str">
        <f t="shared" si="46"/>
        <v>REMOÇÃO DE CALHAS E RUFOS</v>
      </c>
      <c r="D246" s="162">
        <f>(D55+E55)*2</f>
        <v>39.6</v>
      </c>
      <c r="E246" s="161" t="s">
        <v>6</v>
      </c>
      <c r="F246" s="161">
        <f>$G$9</f>
        <v>1</v>
      </c>
      <c r="G246" s="163">
        <f>$H$9</f>
        <v>2.2000000000000002</v>
      </c>
      <c r="H246" s="164">
        <f t="shared" ref="H246:H254" si="47">(F246+G246)*D246</f>
        <v>126.72000000000001</v>
      </c>
      <c r="I246" s="165">
        <f t="shared" ref="I246:I254" si="48">($I$2+1)*H246</f>
        <v>164.73600000000002</v>
      </c>
      <c r="J246" s="166"/>
    </row>
    <row r="247" spans="1:10">
      <c r="A247" s="141">
        <v>3</v>
      </c>
      <c r="B247" s="160" t="s">
        <v>72</v>
      </c>
      <c r="C247" s="161" t="str">
        <f t="shared" si="46"/>
        <v>REMOÇÃO DE ESTRUTURA DE MADEIRA</v>
      </c>
      <c r="D247" s="162">
        <v>0</v>
      </c>
      <c r="E247" s="161" t="s">
        <v>7</v>
      </c>
      <c r="F247" s="161">
        <f>$G$12</f>
        <v>2</v>
      </c>
      <c r="G247" s="163">
        <f>$H$12</f>
        <v>7.7</v>
      </c>
      <c r="H247" s="164">
        <f t="shared" si="47"/>
        <v>0</v>
      </c>
      <c r="I247" s="165">
        <f t="shared" si="48"/>
        <v>0</v>
      </c>
      <c r="J247" s="166"/>
    </row>
    <row r="248" spans="1:10">
      <c r="A248" s="141">
        <v>4</v>
      </c>
      <c r="B248" s="160" t="s">
        <v>73</v>
      </c>
      <c r="C248" s="161" t="str">
        <f t="shared" si="46"/>
        <v>EMBOÇO NA PLATIBANDA</v>
      </c>
      <c r="D248" s="162">
        <v>0</v>
      </c>
      <c r="E248" s="161" t="s">
        <v>7</v>
      </c>
      <c r="F248" s="161">
        <f>$G$15</f>
        <v>13.5</v>
      </c>
      <c r="G248" s="163">
        <f>$H$15</f>
        <v>14</v>
      </c>
      <c r="H248" s="164">
        <f t="shared" si="47"/>
        <v>0</v>
      </c>
      <c r="I248" s="165">
        <f t="shared" si="48"/>
        <v>0</v>
      </c>
      <c r="J248" s="166"/>
    </row>
    <row r="249" spans="1:10">
      <c r="A249" s="141">
        <v>5</v>
      </c>
      <c r="B249" s="160" t="s">
        <v>74</v>
      </c>
      <c r="C249" s="161" t="str">
        <f t="shared" si="46"/>
        <v>MADEIRAMENTO</v>
      </c>
      <c r="D249" s="162">
        <v>0</v>
      </c>
      <c r="E249" s="161" t="s">
        <v>7</v>
      </c>
      <c r="F249" s="161">
        <f>$G$18</f>
        <v>7.5</v>
      </c>
      <c r="G249" s="163">
        <f>$H$18</f>
        <v>2.5</v>
      </c>
      <c r="H249" s="164">
        <f t="shared" si="47"/>
        <v>0</v>
      </c>
      <c r="I249" s="165">
        <f t="shared" si="48"/>
        <v>0</v>
      </c>
      <c r="J249" s="166"/>
    </row>
    <row r="250" spans="1:10">
      <c r="A250" s="141">
        <v>6</v>
      </c>
      <c r="B250" s="160" t="s">
        <v>75</v>
      </c>
      <c r="C250" s="161" t="str">
        <f t="shared" si="46"/>
        <v>BEIRAL EM FORRO DE PVC</v>
      </c>
      <c r="D250" s="162">
        <v>0</v>
      </c>
      <c r="E250" s="161" t="s">
        <v>7</v>
      </c>
      <c r="F250" s="161">
        <f>$G$21</f>
        <v>29</v>
      </c>
      <c r="G250" s="163">
        <f>$H$21</f>
        <v>20</v>
      </c>
      <c r="H250" s="164">
        <f t="shared" si="47"/>
        <v>0</v>
      </c>
      <c r="I250" s="165">
        <f t="shared" si="48"/>
        <v>0</v>
      </c>
      <c r="J250" s="166"/>
    </row>
    <row r="251" spans="1:10">
      <c r="A251" s="141">
        <v>7</v>
      </c>
      <c r="B251" s="160" t="s">
        <v>94</v>
      </c>
      <c r="C251" s="161" t="str">
        <f t="shared" si="46"/>
        <v>TELHA</v>
      </c>
      <c r="D251" s="162">
        <f>D245</f>
        <v>94.4</v>
      </c>
      <c r="E251" s="161" t="s">
        <v>7</v>
      </c>
      <c r="F251" s="161">
        <f>$G$24</f>
        <v>27.5</v>
      </c>
      <c r="G251" s="163">
        <f>$H$24</f>
        <v>3.5</v>
      </c>
      <c r="H251" s="164">
        <f t="shared" si="47"/>
        <v>2926.4</v>
      </c>
      <c r="I251" s="165">
        <f t="shared" si="48"/>
        <v>3804.32</v>
      </c>
      <c r="J251" s="166"/>
    </row>
    <row r="252" spans="1:10">
      <c r="A252" s="141">
        <v>8</v>
      </c>
      <c r="B252" s="160" t="s">
        <v>95</v>
      </c>
      <c r="C252" s="161" t="str">
        <f t="shared" si="46"/>
        <v>CUMEEIRA</v>
      </c>
      <c r="D252" s="162">
        <f>5.2*4+4</f>
        <v>24.8</v>
      </c>
      <c r="E252" s="161" t="s">
        <v>6</v>
      </c>
      <c r="F252" s="161">
        <f>$G$27</f>
        <v>60</v>
      </c>
      <c r="G252" s="163">
        <f>$H$27</f>
        <v>2.2999999999999998</v>
      </c>
      <c r="H252" s="164">
        <f t="shared" si="47"/>
        <v>1545.04</v>
      </c>
      <c r="I252" s="165">
        <f t="shared" si="48"/>
        <v>2008.5520000000001</v>
      </c>
      <c r="J252" s="166"/>
    </row>
    <row r="253" spans="1:10">
      <c r="A253" s="141">
        <v>9</v>
      </c>
      <c r="B253" s="160" t="s">
        <v>96</v>
      </c>
      <c r="C253" s="161" t="str">
        <f t="shared" si="46"/>
        <v>RUFO</v>
      </c>
      <c r="D253" s="162">
        <f>J55</f>
        <v>39.6</v>
      </c>
      <c r="E253" s="161" t="s">
        <v>6</v>
      </c>
      <c r="F253" s="162">
        <f>$G$30</f>
        <v>40.5</v>
      </c>
      <c r="G253" s="196">
        <f>$H$30</f>
        <v>8</v>
      </c>
      <c r="H253" s="164">
        <f t="shared" si="47"/>
        <v>1920.6000000000001</v>
      </c>
      <c r="I253" s="165">
        <f t="shared" si="48"/>
        <v>2496.7800000000002</v>
      </c>
      <c r="J253" s="166"/>
    </row>
    <row r="254" spans="1:10">
      <c r="A254" s="141">
        <v>10</v>
      </c>
      <c r="B254" s="167" t="s">
        <v>97</v>
      </c>
      <c r="C254" s="151" t="str">
        <f t="shared" si="46"/>
        <v>CALHA</v>
      </c>
      <c r="D254" s="168">
        <f>J55</f>
        <v>39.6</v>
      </c>
      <c r="E254" s="151" t="s">
        <v>6</v>
      </c>
      <c r="F254" s="168">
        <f>$G$33</f>
        <v>75</v>
      </c>
      <c r="G254" s="197">
        <f>$H$33</f>
        <v>15</v>
      </c>
      <c r="H254" s="169">
        <f t="shared" si="47"/>
        <v>3564</v>
      </c>
      <c r="I254" s="170">
        <f t="shared" si="48"/>
        <v>4633.2</v>
      </c>
      <c r="J254" s="171"/>
    </row>
    <row r="255" spans="1:10">
      <c r="A255" s="141"/>
      <c r="B255" s="172"/>
      <c r="C255" s="172"/>
      <c r="D255" s="172"/>
      <c r="E255" s="172"/>
      <c r="F255" s="173"/>
      <c r="G255" s="173"/>
      <c r="H255" s="173"/>
      <c r="I255" s="173"/>
      <c r="J255" s="166"/>
    </row>
    <row r="256" spans="1:10">
      <c r="A256" s="141"/>
      <c r="B256" s="142" t="s">
        <v>66</v>
      </c>
      <c r="C256" s="143" t="s">
        <v>98</v>
      </c>
      <c r="D256" s="144" t="s">
        <v>78</v>
      </c>
      <c r="E256" s="144" t="s">
        <v>104</v>
      </c>
      <c r="F256" s="145" t="s">
        <v>106</v>
      </c>
      <c r="G256" s="145" t="s">
        <v>107</v>
      </c>
      <c r="H256" s="145" t="s">
        <v>108</v>
      </c>
      <c r="I256" s="146" t="s">
        <v>108</v>
      </c>
      <c r="J256" s="147" t="s">
        <v>80</v>
      </c>
    </row>
    <row r="257" spans="1:10">
      <c r="A257" s="141"/>
      <c r="B257" s="148">
        <v>17</v>
      </c>
      <c r="C257" s="174" t="str">
        <f>VLOOKUP(B257,$B$41:$J$57,2)</f>
        <v>LAB. ZANATA [ANEXO A QUADRA]</v>
      </c>
      <c r="D257" s="150"/>
      <c r="E257" s="151"/>
      <c r="F257" s="152" t="s">
        <v>105</v>
      </c>
      <c r="G257" s="152" t="s">
        <v>105</v>
      </c>
      <c r="H257" s="152" t="s">
        <v>109</v>
      </c>
      <c r="I257" s="153" t="s">
        <v>110</v>
      </c>
      <c r="J257" s="154">
        <f>SUM(I258:I267)</f>
        <v>1209.7800000000002</v>
      </c>
    </row>
    <row r="258" spans="1:10">
      <c r="A258" s="141">
        <v>1</v>
      </c>
      <c r="B258" s="142" t="s">
        <v>70</v>
      </c>
      <c r="C258" s="144" t="str">
        <f t="shared" ref="C258:C267" si="49">VLOOKUP(A258,$A$5:$J$33,3)</f>
        <v>REMOÇÃO DE TELHAS</v>
      </c>
      <c r="D258" s="156">
        <v>0</v>
      </c>
      <c r="E258" s="144" t="s">
        <v>7</v>
      </c>
      <c r="F258" s="144">
        <f>$G$6</f>
        <v>1</v>
      </c>
      <c r="G258" s="145">
        <f>$H$6</f>
        <v>2</v>
      </c>
      <c r="H258" s="157">
        <f>(G258+F258)*D258</f>
        <v>0</v>
      </c>
      <c r="I258" s="158">
        <f>($I$2+1)*H258</f>
        <v>0</v>
      </c>
      <c r="J258" s="159"/>
    </row>
    <row r="259" spans="1:10">
      <c r="A259" s="141">
        <v>2</v>
      </c>
      <c r="B259" s="160" t="s">
        <v>71</v>
      </c>
      <c r="C259" s="161" t="str">
        <f t="shared" si="49"/>
        <v>REMOÇÃO DE CALHAS E RUFOS</v>
      </c>
      <c r="D259" s="162">
        <f>I57</f>
        <v>18</v>
      </c>
      <c r="E259" s="161" t="s">
        <v>6</v>
      </c>
      <c r="F259" s="161">
        <f>$G$9</f>
        <v>1</v>
      </c>
      <c r="G259" s="163">
        <f>$H$9</f>
        <v>2.2000000000000002</v>
      </c>
      <c r="H259" s="164">
        <f t="shared" ref="H259:H267" si="50">(F259+G259)*D259</f>
        <v>57.6</v>
      </c>
      <c r="I259" s="165">
        <f t="shared" ref="I259:I267" si="51">($I$2+1)*H259</f>
        <v>74.88000000000001</v>
      </c>
      <c r="J259" s="166"/>
    </row>
    <row r="260" spans="1:10">
      <c r="A260" s="141">
        <v>3</v>
      </c>
      <c r="B260" s="160" t="s">
        <v>72</v>
      </c>
      <c r="C260" s="161" t="str">
        <f t="shared" si="49"/>
        <v>REMOÇÃO DE ESTRUTURA DE MADEIRA</v>
      </c>
      <c r="D260" s="162">
        <v>0</v>
      </c>
      <c r="E260" s="161" t="s">
        <v>7</v>
      </c>
      <c r="F260" s="161">
        <f>$G$12</f>
        <v>2</v>
      </c>
      <c r="G260" s="163">
        <f>$H$12</f>
        <v>7.7</v>
      </c>
      <c r="H260" s="164">
        <f t="shared" si="50"/>
        <v>0</v>
      </c>
      <c r="I260" s="165">
        <f t="shared" si="51"/>
        <v>0</v>
      </c>
      <c r="J260" s="166"/>
    </row>
    <row r="261" spans="1:10">
      <c r="A261" s="141">
        <v>4</v>
      </c>
      <c r="B261" s="160" t="s">
        <v>73</v>
      </c>
      <c r="C261" s="161" t="str">
        <f t="shared" si="49"/>
        <v>EMBOÇO NA PLATIBANDA</v>
      </c>
      <c r="D261" s="162">
        <v>0</v>
      </c>
      <c r="E261" s="161" t="s">
        <v>7</v>
      </c>
      <c r="F261" s="161">
        <f>$G$15</f>
        <v>13.5</v>
      </c>
      <c r="G261" s="163">
        <f>$H$15</f>
        <v>14</v>
      </c>
      <c r="H261" s="164">
        <f t="shared" si="50"/>
        <v>0</v>
      </c>
      <c r="I261" s="165">
        <f t="shared" si="51"/>
        <v>0</v>
      </c>
      <c r="J261" s="166"/>
    </row>
    <row r="262" spans="1:10">
      <c r="A262" s="141">
        <v>5</v>
      </c>
      <c r="B262" s="160" t="s">
        <v>74</v>
      </c>
      <c r="C262" s="161" t="str">
        <f t="shared" si="49"/>
        <v>MADEIRAMENTO</v>
      </c>
      <c r="D262" s="162">
        <v>0</v>
      </c>
      <c r="E262" s="161" t="s">
        <v>7</v>
      </c>
      <c r="F262" s="161">
        <f>$G$18</f>
        <v>7.5</v>
      </c>
      <c r="G262" s="163">
        <f>$H$18</f>
        <v>2.5</v>
      </c>
      <c r="H262" s="164">
        <f t="shared" si="50"/>
        <v>0</v>
      </c>
      <c r="I262" s="165">
        <f t="shared" si="51"/>
        <v>0</v>
      </c>
      <c r="J262" s="166"/>
    </row>
    <row r="263" spans="1:10">
      <c r="A263" s="141">
        <v>6</v>
      </c>
      <c r="B263" s="160" t="s">
        <v>75</v>
      </c>
      <c r="C263" s="161" t="str">
        <f t="shared" si="49"/>
        <v>BEIRAL EM FORRO DE PVC</v>
      </c>
      <c r="D263" s="162">
        <v>0</v>
      </c>
      <c r="E263" s="161" t="s">
        <v>7</v>
      </c>
      <c r="F263" s="161">
        <f>$G$21</f>
        <v>29</v>
      </c>
      <c r="G263" s="163">
        <f>$H$21</f>
        <v>20</v>
      </c>
      <c r="H263" s="164">
        <f t="shared" si="50"/>
        <v>0</v>
      </c>
      <c r="I263" s="165">
        <f t="shared" si="51"/>
        <v>0</v>
      </c>
      <c r="J263" s="166"/>
    </row>
    <row r="264" spans="1:10">
      <c r="A264" s="141">
        <v>7</v>
      </c>
      <c r="B264" s="160" t="s">
        <v>94</v>
      </c>
      <c r="C264" s="161" t="str">
        <f t="shared" si="49"/>
        <v>TELHA</v>
      </c>
      <c r="D264" s="162">
        <v>0</v>
      </c>
      <c r="E264" s="161" t="s">
        <v>7</v>
      </c>
      <c r="F264" s="161">
        <f>$G$24</f>
        <v>27.5</v>
      </c>
      <c r="G264" s="163">
        <f>$H$24</f>
        <v>3.5</v>
      </c>
      <c r="H264" s="164">
        <f t="shared" si="50"/>
        <v>0</v>
      </c>
      <c r="I264" s="165">
        <f t="shared" si="51"/>
        <v>0</v>
      </c>
      <c r="J264" s="166"/>
    </row>
    <row r="265" spans="1:10">
      <c r="A265" s="141">
        <v>8</v>
      </c>
      <c r="B265" s="160" t="s">
        <v>95</v>
      </c>
      <c r="C265" s="161" t="str">
        <f t="shared" si="49"/>
        <v>CUMEEIRA</v>
      </c>
      <c r="D265" s="162">
        <v>0</v>
      </c>
      <c r="E265" s="161" t="s">
        <v>6</v>
      </c>
      <c r="F265" s="161">
        <f>$G$27</f>
        <v>60</v>
      </c>
      <c r="G265" s="163">
        <f>$H$27</f>
        <v>2.2999999999999998</v>
      </c>
      <c r="H265" s="164">
        <f t="shared" si="50"/>
        <v>0</v>
      </c>
      <c r="I265" s="165">
        <f t="shared" si="51"/>
        <v>0</v>
      </c>
      <c r="J265" s="166"/>
    </row>
    <row r="266" spans="1:10">
      <c r="A266" s="141">
        <v>9</v>
      </c>
      <c r="B266" s="160" t="s">
        <v>96</v>
      </c>
      <c r="C266" s="161" t="str">
        <f t="shared" si="49"/>
        <v>RUFO</v>
      </c>
      <c r="D266" s="162">
        <f>D259</f>
        <v>18</v>
      </c>
      <c r="E266" s="161" t="s">
        <v>6</v>
      </c>
      <c r="F266" s="162">
        <f>$G$30</f>
        <v>40.5</v>
      </c>
      <c r="G266" s="196">
        <f>$H$30</f>
        <v>8</v>
      </c>
      <c r="H266" s="164">
        <f t="shared" si="50"/>
        <v>873</v>
      </c>
      <c r="I266" s="165">
        <f t="shared" si="51"/>
        <v>1134.9000000000001</v>
      </c>
      <c r="J266" s="166"/>
    </row>
    <row r="267" spans="1:10">
      <c r="A267" s="141">
        <v>10</v>
      </c>
      <c r="B267" s="167" t="s">
        <v>97</v>
      </c>
      <c r="C267" s="151" t="str">
        <f t="shared" si="49"/>
        <v>CALHA</v>
      </c>
      <c r="D267" s="168">
        <f>J66</f>
        <v>0</v>
      </c>
      <c r="E267" s="151" t="s">
        <v>6</v>
      </c>
      <c r="F267" s="168">
        <f>$G$33</f>
        <v>75</v>
      </c>
      <c r="G267" s="197">
        <f>$H$33</f>
        <v>15</v>
      </c>
      <c r="H267" s="169">
        <f t="shared" si="50"/>
        <v>0</v>
      </c>
      <c r="I267" s="170">
        <f t="shared" si="51"/>
        <v>0</v>
      </c>
      <c r="J267" s="171"/>
    </row>
    <row r="268" spans="1:10">
      <c r="A268" s="141"/>
      <c r="B268" s="172"/>
      <c r="C268" s="172"/>
      <c r="D268" s="172"/>
      <c r="E268" s="172"/>
      <c r="F268" s="173"/>
      <c r="G268" s="173"/>
      <c r="H268" s="173"/>
      <c r="I268" s="173"/>
      <c r="J268" s="166"/>
    </row>
    <row r="269" spans="1:10">
      <c r="A269" s="141"/>
      <c r="B269" s="142" t="s">
        <v>66</v>
      </c>
      <c r="C269" s="143" t="s">
        <v>98</v>
      </c>
      <c r="D269" s="144" t="s">
        <v>78</v>
      </c>
      <c r="E269" s="144" t="s">
        <v>104</v>
      </c>
      <c r="F269" s="145" t="s">
        <v>106</v>
      </c>
      <c r="G269" s="145" t="s">
        <v>107</v>
      </c>
      <c r="H269" s="145" t="s">
        <v>108</v>
      </c>
      <c r="I269" s="146" t="s">
        <v>108</v>
      </c>
      <c r="J269" s="147" t="s">
        <v>80</v>
      </c>
    </row>
    <row r="270" spans="1:10">
      <c r="A270" s="141"/>
      <c r="B270" s="148" t="s">
        <v>116</v>
      </c>
      <c r="C270" s="174" t="s">
        <v>117</v>
      </c>
      <c r="D270" s="150"/>
      <c r="E270" s="151"/>
      <c r="F270" s="152" t="s">
        <v>105</v>
      </c>
      <c r="G270" s="152" t="s">
        <v>105</v>
      </c>
      <c r="H270" s="152" t="s">
        <v>109</v>
      </c>
      <c r="I270" s="153" t="s">
        <v>110</v>
      </c>
      <c r="J270" s="154">
        <f>SUM(I271:I277)</f>
        <v>19294.600000000002</v>
      </c>
    </row>
    <row r="271" spans="1:10">
      <c r="A271" s="141"/>
      <c r="B271" s="142"/>
      <c r="C271" s="144"/>
      <c r="D271" s="156"/>
      <c r="E271" s="144"/>
      <c r="F271" s="144"/>
      <c r="G271" s="145"/>
      <c r="H271" s="157"/>
      <c r="I271" s="158"/>
      <c r="J271" s="159"/>
    </row>
    <row r="272" spans="1:10">
      <c r="A272" s="141"/>
      <c r="B272" s="160"/>
      <c r="C272" s="176" t="s">
        <v>44</v>
      </c>
      <c r="D272" s="177">
        <f>14*2</f>
        <v>28</v>
      </c>
      <c r="E272" s="177" t="s">
        <v>28</v>
      </c>
      <c r="F272" s="178">
        <v>200</v>
      </c>
      <c r="G272" s="179">
        <v>97</v>
      </c>
      <c r="H272" s="180">
        <f>(G272+F272)*D272</f>
        <v>8316</v>
      </c>
      <c r="I272" s="181">
        <f>H272*1.3</f>
        <v>10810.800000000001</v>
      </c>
      <c r="J272" s="182"/>
    </row>
    <row r="273" spans="1:14">
      <c r="A273" s="141"/>
      <c r="B273" s="160"/>
      <c r="C273" s="161" t="s">
        <v>118</v>
      </c>
      <c r="D273" s="162">
        <v>132</v>
      </c>
      <c r="E273" s="161" t="s">
        <v>6</v>
      </c>
      <c r="F273" s="178">
        <v>35</v>
      </c>
      <c r="G273" s="179">
        <v>10.5</v>
      </c>
      <c r="H273" s="180">
        <f>(G273+F273)*D273</f>
        <v>6006</v>
      </c>
      <c r="I273" s="181">
        <f>H273*1.3</f>
        <v>7807.8</v>
      </c>
      <c r="J273" s="182"/>
    </row>
    <row r="274" spans="1:14">
      <c r="A274" s="141"/>
      <c r="B274" s="160"/>
      <c r="C274" s="161" t="s">
        <v>119</v>
      </c>
      <c r="D274" s="162">
        <v>1</v>
      </c>
      <c r="E274" s="177" t="s">
        <v>28</v>
      </c>
      <c r="F274" s="178">
        <v>400</v>
      </c>
      <c r="G274" s="179">
        <v>120</v>
      </c>
      <c r="H274" s="180">
        <f>(G274+F274)*D274</f>
        <v>520</v>
      </c>
      <c r="I274" s="181">
        <f>H274*1.3</f>
        <v>676</v>
      </c>
      <c r="J274" s="182"/>
    </row>
    <row r="275" spans="1:14">
      <c r="A275" s="141"/>
      <c r="B275" s="160"/>
      <c r="C275" s="161"/>
      <c r="D275" s="162"/>
      <c r="E275" s="161"/>
      <c r="F275" s="178"/>
      <c r="G275" s="179"/>
      <c r="H275" s="180"/>
      <c r="I275" s="181"/>
      <c r="J275" s="182"/>
      <c r="M275" s="75"/>
    </row>
    <row r="276" spans="1:14">
      <c r="A276" s="141"/>
      <c r="B276" s="160"/>
      <c r="C276" s="161"/>
      <c r="D276" s="162"/>
      <c r="E276" s="161"/>
      <c r="F276" s="178"/>
      <c r="G276" s="179"/>
      <c r="H276" s="180"/>
      <c r="I276" s="181"/>
      <c r="J276" s="182"/>
    </row>
    <row r="277" spans="1:14">
      <c r="A277" s="141"/>
      <c r="B277" s="167"/>
      <c r="C277" s="151"/>
      <c r="D277" s="168"/>
      <c r="E277" s="151"/>
      <c r="F277" s="151"/>
      <c r="G277" s="152"/>
      <c r="H277" s="169"/>
      <c r="I277" s="170"/>
      <c r="J277" s="171"/>
    </row>
    <row r="278" spans="1:14">
      <c r="A278" s="141"/>
      <c r="B278" s="183"/>
      <c r="C278" s="172"/>
      <c r="D278" s="184"/>
      <c r="E278" s="172"/>
      <c r="F278" s="172"/>
      <c r="G278" s="173"/>
      <c r="H278" s="185"/>
      <c r="I278" s="186"/>
      <c r="J278" s="166"/>
    </row>
    <row r="279" spans="1:14">
      <c r="A279" s="141"/>
      <c r="B279" s="187" t="s">
        <v>145</v>
      </c>
      <c r="C279" s="188" t="s">
        <v>138</v>
      </c>
      <c r="D279" s="189"/>
      <c r="E279" s="188"/>
      <c r="F279" s="188"/>
      <c r="G279" s="190"/>
      <c r="H279" s="191"/>
      <c r="I279" s="192"/>
      <c r="J279" s="209">
        <v>2070.5700000000002</v>
      </c>
      <c r="N279" s="75"/>
    </row>
    <row r="280" spans="1:14">
      <c r="A280" s="141"/>
      <c r="B280" s="172"/>
      <c r="C280" s="172"/>
      <c r="D280" s="172"/>
      <c r="E280" s="172"/>
      <c r="F280" s="173"/>
      <c r="G280" s="173"/>
      <c r="H280" s="173"/>
      <c r="I280" s="173"/>
      <c r="J280" s="166"/>
      <c r="N280" s="75"/>
    </row>
    <row r="281" spans="1:14">
      <c r="A281" s="141"/>
      <c r="B281" s="193"/>
      <c r="C281" s="188"/>
      <c r="D281" s="194"/>
      <c r="E281" s="194"/>
      <c r="F281" s="194"/>
      <c r="G281" s="210" t="s">
        <v>121</v>
      </c>
      <c r="H281" s="211"/>
      <c r="I281" s="212"/>
      <c r="J281" s="195">
        <f>SUM(J62:J279)</f>
        <v>175000.00200000001</v>
      </c>
      <c r="M281" s="75"/>
      <c r="N281" s="75"/>
    </row>
  </sheetData>
  <mergeCells count="7">
    <mergeCell ref="G281:I281"/>
    <mergeCell ref="B60:G60"/>
    <mergeCell ref="H60:I60"/>
    <mergeCell ref="B3:I3"/>
    <mergeCell ref="B35:I35"/>
    <mergeCell ref="A38:J38"/>
    <mergeCell ref="B37:J37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headerFooter>
    <oddHeader>&amp;CUENP CCP&amp;RTELHADO</oddHeader>
    <oddFooter>&amp;L&amp;F&amp;C&amp;D&amp;R&amp;P</oddFooter>
  </headerFooter>
  <rowBreaks count="11" manualBreakCount="11">
    <brk id="21" max="16383" man="1"/>
    <brk id="33" max="16383" man="1"/>
    <brk id="58" max="16383" man="1"/>
    <brk id="85" max="16383" man="1"/>
    <brk id="111" max="16383" man="1"/>
    <brk id="137" max="16383" man="1"/>
    <brk id="163" max="16383" man="1"/>
    <brk id="189" max="16383" man="1"/>
    <brk id="215" max="16383" man="1"/>
    <brk id="241" max="16383" man="1"/>
    <brk id="2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J40"/>
  <sheetViews>
    <sheetView tabSelected="1" topLeftCell="B14" workbookViewId="0">
      <selection activeCell="F15" sqref="F15"/>
    </sheetView>
  </sheetViews>
  <sheetFormatPr defaultRowHeight="15"/>
  <cols>
    <col min="2" max="2" width="12.140625" customWidth="1"/>
    <col min="3" max="3" width="57.7109375" customWidth="1"/>
    <col min="4" max="4" width="22.28515625" style="260" customWidth="1"/>
    <col min="5" max="5" width="9.42578125" customWidth="1"/>
    <col min="6" max="6" width="18.5703125" customWidth="1"/>
    <col min="7" max="7" width="7.85546875" customWidth="1"/>
    <col min="8" max="8" width="7.28515625" customWidth="1"/>
    <col min="10" max="10" width="15.42578125" customWidth="1"/>
  </cols>
  <sheetData>
    <row r="1" spans="2:10">
      <c r="B1" s="263"/>
      <c r="C1" s="263"/>
      <c r="E1" s="263"/>
      <c r="F1" s="263"/>
      <c r="G1" s="263"/>
      <c r="H1" s="263"/>
      <c r="I1" s="263"/>
      <c r="J1" s="263"/>
    </row>
    <row r="2" spans="2:10" ht="15.75">
      <c r="B2" s="264" t="s">
        <v>139</v>
      </c>
      <c r="C2" s="265"/>
      <c r="D2" s="265"/>
      <c r="E2" s="265"/>
      <c r="F2" s="265"/>
      <c r="G2" s="265"/>
      <c r="H2" s="265"/>
      <c r="I2" s="265"/>
      <c r="J2" s="266"/>
    </row>
    <row r="3" spans="2:10">
      <c r="B3" s="267" t="s">
        <v>158</v>
      </c>
      <c r="C3" s="268"/>
      <c r="D3" s="268"/>
      <c r="E3" s="268"/>
      <c r="F3" s="268"/>
      <c r="G3" s="268"/>
      <c r="H3" s="268"/>
      <c r="I3" s="268"/>
      <c r="J3" s="269"/>
    </row>
    <row r="4" spans="2:10">
      <c r="B4" s="267"/>
      <c r="C4" s="268"/>
      <c r="D4" s="268"/>
      <c r="E4" s="268"/>
      <c r="F4" s="268"/>
      <c r="G4" s="268"/>
      <c r="H4" s="268"/>
      <c r="I4" s="268"/>
      <c r="J4" s="269"/>
    </row>
    <row r="5" spans="2:10">
      <c r="B5" s="270" t="s">
        <v>159</v>
      </c>
      <c r="C5" s="271"/>
      <c r="D5" s="271"/>
      <c r="E5" s="271"/>
      <c r="F5" s="271"/>
      <c r="G5" s="271"/>
      <c r="H5" s="271"/>
      <c r="I5" s="271"/>
      <c r="J5" s="272"/>
    </row>
    <row r="6" spans="2:10" ht="15.75">
      <c r="B6" s="273" t="s">
        <v>140</v>
      </c>
      <c r="C6" s="274"/>
      <c r="D6" s="274"/>
      <c r="E6" s="274"/>
      <c r="F6" s="274"/>
      <c r="G6" s="274"/>
      <c r="H6" s="274"/>
      <c r="I6" s="274"/>
      <c r="J6" s="275"/>
    </row>
    <row r="7" spans="2:10">
      <c r="B7" s="276"/>
      <c r="C7" s="277"/>
      <c r="D7" s="277"/>
      <c r="E7" s="277"/>
      <c r="F7" s="277"/>
      <c r="G7" s="277"/>
      <c r="H7" s="277"/>
      <c r="I7" s="277"/>
      <c r="J7" s="278"/>
    </row>
    <row r="8" spans="2:10" ht="15.75">
      <c r="B8" s="353" t="s">
        <v>141</v>
      </c>
      <c r="C8" s="354"/>
      <c r="D8" s="354"/>
      <c r="E8" s="354"/>
      <c r="F8" s="354"/>
      <c r="G8" s="354"/>
      <c r="H8" s="354"/>
      <c r="I8" s="354"/>
      <c r="J8" s="355"/>
    </row>
    <row r="9" spans="2:10">
      <c r="B9" s="344"/>
      <c r="C9" s="345" t="s">
        <v>154</v>
      </c>
      <c r="D9" s="346"/>
      <c r="E9" s="347" t="s">
        <v>157</v>
      </c>
      <c r="F9" s="347"/>
      <c r="G9" s="348">
        <v>0.3</v>
      </c>
      <c r="H9" s="349"/>
      <c r="I9" s="349"/>
      <c r="J9" s="349"/>
    </row>
    <row r="10" spans="2:10">
      <c r="B10" s="350"/>
      <c r="C10" s="346" t="s">
        <v>155</v>
      </c>
      <c r="D10" s="346"/>
      <c r="E10" s="347" t="s">
        <v>156</v>
      </c>
      <c r="F10" s="347"/>
      <c r="G10" s="351">
        <f>D36</f>
        <v>175000.00200000001</v>
      </c>
      <c r="H10" s="351"/>
      <c r="I10" s="351"/>
      <c r="J10" s="352"/>
    </row>
    <row r="11" spans="2:10">
      <c r="B11" s="279"/>
      <c r="C11" s="280"/>
      <c r="D11" s="280"/>
      <c r="E11" s="280"/>
      <c r="F11" s="280"/>
      <c r="G11" s="280"/>
      <c r="H11" s="280"/>
      <c r="I11" s="280"/>
      <c r="J11" s="281"/>
    </row>
    <row r="12" spans="2:10">
      <c r="B12" s="307" t="s">
        <v>142</v>
      </c>
      <c r="C12" s="311" t="s">
        <v>143</v>
      </c>
      <c r="D12" s="321" t="s">
        <v>151</v>
      </c>
      <c r="E12" s="295" t="s">
        <v>148</v>
      </c>
      <c r="F12" s="288"/>
      <c r="G12" s="288"/>
      <c r="H12" s="288"/>
      <c r="I12" s="295"/>
      <c r="J12" s="296"/>
    </row>
    <row r="13" spans="2:10">
      <c r="B13" s="308"/>
      <c r="C13" s="312"/>
      <c r="D13" s="322"/>
      <c r="E13" s="328"/>
      <c r="F13" s="329"/>
      <c r="G13" s="329"/>
      <c r="H13" s="329"/>
      <c r="I13" s="328" t="s">
        <v>146</v>
      </c>
      <c r="J13" s="330"/>
    </row>
    <row r="14" spans="2:10">
      <c r="B14" s="309"/>
      <c r="C14" s="313"/>
      <c r="D14" s="323" t="s">
        <v>152</v>
      </c>
      <c r="E14" s="316" t="s">
        <v>149</v>
      </c>
      <c r="F14" s="302"/>
      <c r="G14" s="301"/>
      <c r="H14" s="302"/>
      <c r="I14" s="303" t="s">
        <v>147</v>
      </c>
      <c r="J14" s="304" t="s">
        <v>105</v>
      </c>
    </row>
    <row r="15" spans="2:10">
      <c r="B15" s="282">
        <f>composição_orçamento!B62</f>
        <v>1</v>
      </c>
      <c r="C15" s="314" t="str">
        <f>VLOOKUP(B15,composição_orçamento!$B$62:$J$280,2)</f>
        <v>PROF. BIOLOGIA [ANEXO ESTACIONAMEMTO]</v>
      </c>
      <c r="D15" s="324">
        <f>VLOOKUP(B15,composição_orçamento!$B$62:$J$280,9)</f>
        <v>10415.132</v>
      </c>
      <c r="E15" s="317">
        <v>1</v>
      </c>
      <c r="F15" s="299">
        <f>IF(E15=0,0,E15*D15)</f>
        <v>10415.132</v>
      </c>
      <c r="G15" s="298"/>
      <c r="H15" s="299"/>
      <c r="I15" s="298">
        <f>G15+E15</f>
        <v>1</v>
      </c>
      <c r="J15" s="300">
        <f>H15+F15</f>
        <v>10415.132</v>
      </c>
    </row>
    <row r="16" spans="2:10">
      <c r="B16" s="282">
        <v>2</v>
      </c>
      <c r="C16" s="315" t="str">
        <f>VLOOKUP(B16,composição_orçamento!$B$62:$J$280,2)</f>
        <v>REMIFOR [ANEXO ESTACIONAMEMTO]</v>
      </c>
      <c r="D16" s="325">
        <f>VLOOKUP(B16,composição_orçamento!$B$62:$J$280,9)</f>
        <v>8891.7465000000011</v>
      </c>
      <c r="E16" s="289">
        <v>1</v>
      </c>
      <c r="F16" s="299">
        <f t="shared" ref="F16:F32" si="0">IF(E16=0,0,E16*D16)</f>
        <v>8891.7465000000011</v>
      </c>
      <c r="G16" s="291"/>
      <c r="H16" s="299"/>
      <c r="I16" s="291">
        <f t="shared" ref="I16:I33" si="1">G16+E16</f>
        <v>1</v>
      </c>
      <c r="J16" s="287">
        <f t="shared" ref="J16:J33" si="2">H16+F16</f>
        <v>8891.7465000000011</v>
      </c>
    </row>
    <row r="17" spans="2:10">
      <c r="B17" s="282">
        <v>3</v>
      </c>
      <c r="C17" s="315" t="str">
        <f>VLOOKUP(B17,composição_orçamento!$B$62:$J$280,2)</f>
        <v>PÓS, DORA, GEOGRAF. [ANEXO ESTACIONAMEMTO]</v>
      </c>
      <c r="D17" s="325">
        <f>VLOOKUP(B17,composição_orçamento!$B$62:$J$280,9)</f>
        <v>21234.102499999997</v>
      </c>
      <c r="E17" s="289">
        <v>1</v>
      </c>
      <c r="F17" s="299">
        <f t="shared" si="0"/>
        <v>21234.102499999997</v>
      </c>
      <c r="G17" s="291"/>
      <c r="H17" s="299"/>
      <c r="I17" s="291">
        <f t="shared" si="1"/>
        <v>1</v>
      </c>
      <c r="J17" s="287">
        <f t="shared" si="2"/>
        <v>21234.102499999997</v>
      </c>
    </row>
    <row r="18" spans="2:10">
      <c r="B18" s="282">
        <v>4</v>
      </c>
      <c r="C18" s="315" t="str">
        <f>VLOOKUP(B18,composição_orçamento!$B$62:$J$280,2)</f>
        <v>SIMONE, ALMOXARIFADO [FRENTE AO SALÃO NOBRE]</v>
      </c>
      <c r="D18" s="325">
        <f>VLOOKUP(B18,composição_orçamento!$B$62:$J$280,9)</f>
        <v>8339.9874999999993</v>
      </c>
      <c r="E18" s="289">
        <v>1</v>
      </c>
      <c r="F18" s="299">
        <f t="shared" si="0"/>
        <v>8339.9874999999993</v>
      </c>
      <c r="G18" s="291"/>
      <c r="H18" s="299"/>
      <c r="I18" s="291">
        <f t="shared" si="1"/>
        <v>1</v>
      </c>
      <c r="J18" s="287">
        <f t="shared" si="2"/>
        <v>8339.9874999999993</v>
      </c>
    </row>
    <row r="19" spans="2:10">
      <c r="B19" s="282">
        <v>5</v>
      </c>
      <c r="C19" s="315" t="str">
        <f>VLOOKUP(B19,composição_orçamento!$B$62:$J$280,2)</f>
        <v>HALL [ENTRADA PRINCIPAL]</v>
      </c>
      <c r="D19" s="325">
        <f>VLOOKUP(B19,composição_orçamento!$B$62:$J$280,9)</f>
        <v>3009.3505</v>
      </c>
      <c r="E19" s="289">
        <v>1</v>
      </c>
      <c r="F19" s="299">
        <f t="shared" si="0"/>
        <v>3009.3505</v>
      </c>
      <c r="G19" s="291"/>
      <c r="H19" s="299"/>
      <c r="I19" s="291">
        <f t="shared" si="1"/>
        <v>1</v>
      </c>
      <c r="J19" s="287">
        <f t="shared" si="2"/>
        <v>3009.3505</v>
      </c>
    </row>
    <row r="20" spans="2:10">
      <c r="B20" s="282">
        <v>6</v>
      </c>
      <c r="C20" s="315" t="str">
        <f>VLOOKUP(B20,composição_orçamento!$B$62:$J$280,2)</f>
        <v>PROPAV [ANEXO HALL]</v>
      </c>
      <c r="D20" s="325">
        <f>VLOOKUP(B20,composição_orçamento!$B$62:$J$280,9)</f>
        <v>5561.2440000000006</v>
      </c>
      <c r="E20" s="289">
        <v>1</v>
      </c>
      <c r="F20" s="299">
        <f t="shared" si="0"/>
        <v>5561.2440000000006</v>
      </c>
      <c r="G20" s="291"/>
      <c r="H20" s="299"/>
      <c r="I20" s="291">
        <f t="shared" si="1"/>
        <v>1</v>
      </c>
      <c r="J20" s="287">
        <f t="shared" si="2"/>
        <v>5561.2440000000006</v>
      </c>
    </row>
    <row r="21" spans="2:10">
      <c r="B21" s="282">
        <v>7</v>
      </c>
      <c r="C21" s="315" t="str">
        <f>VLOOKUP(B21,composição_orçamento!$B$62:$J$280,2)</f>
        <v>VICE DIREÇÃO [ANEXO PROPAV]</v>
      </c>
      <c r="D21" s="325">
        <f>VLOOKUP(B21,composição_orçamento!$B$62:$J$280,9)</f>
        <v>5062.6679999999997</v>
      </c>
      <c r="E21" s="289">
        <v>1</v>
      </c>
      <c r="F21" s="299">
        <f t="shared" si="0"/>
        <v>5062.6679999999997</v>
      </c>
      <c r="G21" s="291"/>
      <c r="H21" s="299"/>
      <c r="I21" s="291">
        <f t="shared" si="1"/>
        <v>1</v>
      </c>
      <c r="J21" s="287">
        <f t="shared" si="2"/>
        <v>5062.6679999999997</v>
      </c>
    </row>
    <row r="22" spans="2:10">
      <c r="B22" s="282">
        <v>8</v>
      </c>
      <c r="C22" s="315" t="str">
        <f>VLOOKUP(B22,composição_orçamento!$B$62:$J$280,2)</f>
        <v>SALA 1 A 8 [ANEXO COZINHA]</v>
      </c>
      <c r="D22" s="325">
        <f>VLOOKUP(B22,composição_orçamento!$B$62:$J$280,9)</f>
        <v>40182.948000000004</v>
      </c>
      <c r="E22" s="289">
        <v>1</v>
      </c>
      <c r="F22" s="299">
        <f t="shared" si="0"/>
        <v>40182.948000000004</v>
      </c>
      <c r="G22" s="291"/>
      <c r="H22" s="299"/>
      <c r="I22" s="291">
        <f t="shared" si="1"/>
        <v>1</v>
      </c>
      <c r="J22" s="287">
        <f t="shared" si="2"/>
        <v>40182.948000000004</v>
      </c>
    </row>
    <row r="23" spans="2:10">
      <c r="B23" s="282">
        <v>9</v>
      </c>
      <c r="C23" s="315" t="str">
        <f>VLOOKUP(B23,composição_orçamento!$B$62:$J$280,2)</f>
        <v>WC [ANEXO SALA 1 A 8]</v>
      </c>
      <c r="D23" s="325">
        <f>VLOOKUP(B23,composição_orçamento!$B$62:$J$280,9)</f>
        <v>5637.2420000000002</v>
      </c>
      <c r="E23" s="289">
        <v>1</v>
      </c>
      <c r="F23" s="299">
        <f t="shared" si="0"/>
        <v>5637.2420000000002</v>
      </c>
      <c r="G23" s="291"/>
      <c r="H23" s="299"/>
      <c r="I23" s="291">
        <f t="shared" si="1"/>
        <v>1</v>
      </c>
      <c r="J23" s="287">
        <f t="shared" si="2"/>
        <v>5637.2420000000002</v>
      </c>
    </row>
    <row r="24" spans="2:10">
      <c r="B24" s="282">
        <v>10</v>
      </c>
      <c r="C24" s="315" t="str">
        <f>VLOOKUP(B24,composição_orçamento!$B$62:$J$280,2)</f>
        <v>COZINHA</v>
      </c>
      <c r="D24" s="325">
        <f>VLOOKUP(B24,composição_orçamento!$B$62:$J$280,9)</f>
        <v>2850.7049999999999</v>
      </c>
      <c r="E24" s="289">
        <v>1</v>
      </c>
      <c r="F24" s="299">
        <f t="shared" si="0"/>
        <v>2850.7049999999999</v>
      </c>
      <c r="G24" s="291"/>
      <c r="H24" s="299"/>
      <c r="I24" s="291">
        <f t="shared" si="1"/>
        <v>1</v>
      </c>
      <c r="J24" s="287">
        <f t="shared" si="2"/>
        <v>2850.7049999999999</v>
      </c>
    </row>
    <row r="25" spans="2:10">
      <c r="B25" s="282">
        <v>11</v>
      </c>
      <c r="C25" s="315" t="str">
        <f>VLOOKUP(B25,composição_orçamento!$B$62:$J$280,2)</f>
        <v>PROF. MATEM. [BLOCO DE SALAS 1 A 6]</v>
      </c>
      <c r="D25" s="325">
        <f>VLOOKUP(B25,composição_orçamento!$B$62:$J$280,9)</f>
        <v>9353.8119999999999</v>
      </c>
      <c r="E25" s="289">
        <v>1</v>
      </c>
      <c r="F25" s="299">
        <f t="shared" si="0"/>
        <v>9353.8119999999999</v>
      </c>
      <c r="G25" s="291"/>
      <c r="H25" s="299"/>
      <c r="I25" s="291">
        <f t="shared" si="1"/>
        <v>1</v>
      </c>
      <c r="J25" s="287">
        <f t="shared" si="2"/>
        <v>9353.8119999999999</v>
      </c>
    </row>
    <row r="26" spans="2:10">
      <c r="B26" s="282">
        <v>12</v>
      </c>
      <c r="C26" s="315" t="str">
        <f>VLOOKUP(B26,composição_orçamento!$B$62:$J$280,2)</f>
        <v>HALL , ESCADA [ANEXO BIBLIOTECA]</v>
      </c>
      <c r="D26" s="325">
        <f>VLOOKUP(B26,composição_orçamento!$B$62:$J$280,9)</f>
        <v>2694.25</v>
      </c>
      <c r="E26" s="289">
        <v>1</v>
      </c>
      <c r="F26" s="299">
        <f t="shared" si="0"/>
        <v>2694.25</v>
      </c>
      <c r="G26" s="291"/>
      <c r="H26" s="299"/>
      <c r="I26" s="291">
        <f t="shared" si="1"/>
        <v>1</v>
      </c>
      <c r="J26" s="287">
        <f t="shared" si="2"/>
        <v>2694.25</v>
      </c>
    </row>
    <row r="27" spans="2:10">
      <c r="B27" s="282">
        <v>13</v>
      </c>
      <c r="C27" s="315" t="str">
        <f>VLOOKUP(B27,composição_orçamento!$B$62:$J$280,2)</f>
        <v>SALA 7 A 11 [SUPERIOR BIBLIOTECA]</v>
      </c>
      <c r="D27" s="325">
        <f>VLOOKUP(B27,composição_orçamento!$B$62:$J$280,9)</f>
        <v>8433.880000000001</v>
      </c>
      <c r="E27" s="289">
        <v>1</v>
      </c>
      <c r="F27" s="299">
        <f t="shared" si="0"/>
        <v>8433.880000000001</v>
      </c>
      <c r="G27" s="291"/>
      <c r="H27" s="299"/>
      <c r="I27" s="291">
        <f t="shared" si="1"/>
        <v>1</v>
      </c>
      <c r="J27" s="287">
        <f t="shared" si="2"/>
        <v>8433.880000000001</v>
      </c>
    </row>
    <row r="28" spans="2:10">
      <c r="B28" s="282">
        <v>14</v>
      </c>
      <c r="C28" s="315" t="str">
        <f>VLOOKUP(B28,composição_orçamento!$B$62:$J$280,2)</f>
        <v>GRAFICA</v>
      </c>
      <c r="D28" s="325">
        <f>VLOOKUP(B28,composição_orçamento!$B$62:$J$280,9)</f>
        <v>7282.2360000000008</v>
      </c>
      <c r="E28" s="289">
        <v>1</v>
      </c>
      <c r="F28" s="299">
        <f t="shared" si="0"/>
        <v>7282.2360000000008</v>
      </c>
      <c r="G28" s="291"/>
      <c r="H28" s="299"/>
      <c r="I28" s="291">
        <f t="shared" si="1"/>
        <v>1</v>
      </c>
      <c r="J28" s="287">
        <f t="shared" si="2"/>
        <v>7282.2360000000008</v>
      </c>
    </row>
    <row r="29" spans="2:10">
      <c r="B29" s="282">
        <v>15</v>
      </c>
      <c r="C29" s="315" t="str">
        <f>VLOOKUP(B29,composição_orçamento!$B$62:$J$280,2)</f>
        <v>MATEMAT. -SALA DE PESQUISAS</v>
      </c>
      <c r="D29" s="325">
        <f>VLOOKUP(B29,composição_orçamento!$B$62:$J$280,9)</f>
        <v>13475.748</v>
      </c>
      <c r="E29" s="289">
        <v>1</v>
      </c>
      <c r="F29" s="299">
        <f t="shared" si="0"/>
        <v>13475.748</v>
      </c>
      <c r="G29" s="291"/>
      <c r="H29" s="299"/>
      <c r="I29" s="291">
        <f t="shared" si="1"/>
        <v>1</v>
      </c>
      <c r="J29" s="287">
        <f t="shared" si="2"/>
        <v>13475.748</v>
      </c>
    </row>
    <row r="30" spans="2:10">
      <c r="B30" s="282">
        <v>16</v>
      </c>
      <c r="C30" s="315"/>
      <c r="D30" s="325"/>
      <c r="E30" s="289">
        <v>1</v>
      </c>
      <c r="F30" s="299">
        <f t="shared" si="0"/>
        <v>0</v>
      </c>
      <c r="G30" s="291"/>
      <c r="H30" s="299"/>
      <c r="I30" s="291">
        <f t="shared" si="1"/>
        <v>1</v>
      </c>
      <c r="J30" s="287">
        <f t="shared" si="2"/>
        <v>0</v>
      </c>
    </row>
    <row r="31" spans="2:10">
      <c r="B31" s="282">
        <v>17</v>
      </c>
      <c r="C31" s="315" t="str">
        <f>VLOOKUP(B31,composição_orçamento!$B$62:$J$280,2)</f>
        <v>LAB. ZANATA [ANEXO A QUADRA]</v>
      </c>
      <c r="D31" s="325">
        <f>VLOOKUP(B31,composição_orçamento!$B$62:$J$280,9)</f>
        <v>1209.7800000000002</v>
      </c>
      <c r="E31" s="289">
        <v>1</v>
      </c>
      <c r="F31" s="299">
        <f t="shared" si="0"/>
        <v>1209.7800000000002</v>
      </c>
      <c r="G31" s="291"/>
      <c r="H31" s="299"/>
      <c r="I31" s="291">
        <f t="shared" si="1"/>
        <v>1</v>
      </c>
      <c r="J31" s="287">
        <f t="shared" si="2"/>
        <v>1209.7800000000002</v>
      </c>
    </row>
    <row r="32" spans="2:10">
      <c r="B32" s="282" t="s">
        <v>116</v>
      </c>
      <c r="C32" s="315" t="str">
        <f>composição_orçamento!C270</f>
        <v>BLOCO A E BLOCO F</v>
      </c>
      <c r="D32" s="325">
        <f>composição_orçamento!J270</f>
        <v>19294.600000000002</v>
      </c>
      <c r="E32" s="289">
        <v>1</v>
      </c>
      <c r="F32" s="299">
        <f t="shared" si="0"/>
        <v>19294.600000000002</v>
      </c>
      <c r="G32" s="291"/>
      <c r="H32" s="299"/>
      <c r="I32" s="291">
        <f t="shared" si="1"/>
        <v>1</v>
      </c>
      <c r="J32" s="287">
        <f t="shared" si="2"/>
        <v>19294.600000000002</v>
      </c>
    </row>
    <row r="33" spans="2:10" ht="30">
      <c r="B33" s="285" t="str">
        <f>composição_orçamento!B279</f>
        <v>GERAL</v>
      </c>
      <c r="C33" s="315" t="str">
        <f>composição_orçamento!C279</f>
        <v>LIMPEZA INICIAL - INCLUSIVE RETIRADA DE ENTULHOS DA CCP-CENTRO, CANTEIRO,ANDAIME, LIMPEZA FINAL, BOTA FORA.</v>
      </c>
      <c r="D33" s="326">
        <f>composição_orçamento!J279</f>
        <v>2070.5700000000002</v>
      </c>
      <c r="E33" s="318">
        <v>1</v>
      </c>
      <c r="F33" s="292">
        <f t="shared" ref="F33" si="3">E33*D33</f>
        <v>2070.5700000000002</v>
      </c>
      <c r="G33" s="294"/>
      <c r="H33" s="310"/>
      <c r="I33" s="305">
        <f t="shared" si="1"/>
        <v>1</v>
      </c>
      <c r="J33" s="306">
        <f t="shared" si="2"/>
        <v>2070.5700000000002</v>
      </c>
    </row>
    <row r="34" spans="2:10">
      <c r="B34" s="282"/>
      <c r="C34" s="315"/>
      <c r="D34" s="325"/>
      <c r="E34" s="319"/>
      <c r="F34" s="290"/>
      <c r="G34" s="293"/>
      <c r="H34" s="293"/>
      <c r="I34" s="293"/>
      <c r="J34" s="297"/>
    </row>
    <row r="35" spans="2:10">
      <c r="B35" s="282"/>
      <c r="C35" s="315"/>
      <c r="D35" s="325"/>
      <c r="E35" s="320"/>
      <c r="F35" s="286"/>
      <c r="G35" s="283"/>
      <c r="H35" s="283"/>
      <c r="I35" s="283"/>
      <c r="J35" s="284"/>
    </row>
    <row r="36" spans="2:10">
      <c r="B36" s="334" t="s">
        <v>144</v>
      </c>
      <c r="C36" s="335"/>
      <c r="D36" s="327">
        <f>SUM(D15:D33)</f>
        <v>175000.00200000001</v>
      </c>
      <c r="E36" s="336"/>
      <c r="F36" s="337">
        <f>SUM(F15:F33)</f>
        <v>175000.00200000001</v>
      </c>
      <c r="G36" s="337"/>
      <c r="H36" s="337"/>
      <c r="I36" s="337"/>
      <c r="J36" s="338">
        <f>SUM(J15:J33)</f>
        <v>175000.00200000001</v>
      </c>
    </row>
    <row r="37" spans="2:10">
      <c r="B37" s="340"/>
      <c r="C37" s="341"/>
      <c r="D37" s="290"/>
      <c r="E37" s="331"/>
      <c r="F37" s="332"/>
      <c r="G37" s="331"/>
      <c r="H37" s="332"/>
      <c r="I37" s="331"/>
      <c r="J37" s="333"/>
    </row>
    <row r="38" spans="2:10">
      <c r="B38" s="342" t="s">
        <v>150</v>
      </c>
      <c r="C38" s="343"/>
      <c r="D38" s="339"/>
      <c r="E38" s="253"/>
      <c r="F38" s="253"/>
      <c r="G38" s="253"/>
      <c r="H38" s="253"/>
      <c r="I38" s="253"/>
      <c r="J38" s="254"/>
    </row>
    <row r="39" spans="2:10">
      <c r="B39" s="255"/>
      <c r="C39" s="256"/>
      <c r="D39" s="261"/>
      <c r="E39" s="257"/>
      <c r="F39" s="257"/>
      <c r="G39" s="257"/>
      <c r="H39" s="257"/>
      <c r="I39" s="257"/>
      <c r="J39" s="258"/>
    </row>
    <row r="40" spans="2:10">
      <c r="B40" s="10"/>
      <c r="C40" s="11"/>
      <c r="D40" s="262" t="s">
        <v>153</v>
      </c>
      <c r="E40" s="11"/>
      <c r="F40" s="11"/>
      <c r="G40" s="11"/>
      <c r="H40" s="11"/>
      <c r="I40" s="11"/>
      <c r="J40" s="259"/>
    </row>
  </sheetData>
  <mergeCells count="26">
    <mergeCell ref="B36:C36"/>
    <mergeCell ref="B37:C37"/>
    <mergeCell ref="B38:C38"/>
    <mergeCell ref="I13:J13"/>
    <mergeCell ref="D12:D13"/>
    <mergeCell ref="E12:H12"/>
    <mergeCell ref="E13:H13"/>
    <mergeCell ref="I12:J12"/>
    <mergeCell ref="B11:J11"/>
    <mergeCell ref="B12:B14"/>
    <mergeCell ref="C12:C14"/>
    <mergeCell ref="E14:F14"/>
    <mergeCell ref="G14:H14"/>
    <mergeCell ref="B8:J8"/>
    <mergeCell ref="C9:D9"/>
    <mergeCell ref="E9:F9"/>
    <mergeCell ref="G9:J9"/>
    <mergeCell ref="C10:D10"/>
    <mergeCell ref="E10:F10"/>
    <mergeCell ref="G10:J10"/>
    <mergeCell ref="B2:J2"/>
    <mergeCell ref="B3:J3"/>
    <mergeCell ref="B4:J4"/>
    <mergeCell ref="B5:J5"/>
    <mergeCell ref="B6:J6"/>
    <mergeCell ref="B7:J7"/>
  </mergeCells>
  <pageMargins left="0.11811023622047245" right="0.51181102362204722" top="0.78740157480314965" bottom="0.78740157480314965" header="0.31496062992125984" footer="0.31496062992125984"/>
  <pageSetup paperSize="9" scale="80" orientation="landscape" r:id="rId1"/>
  <headerFooter>
    <oddFooter>&amp;L&amp;F&amp;C&amp;D&amp;R&amp;P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M93"/>
  <sheetViews>
    <sheetView topLeftCell="A40" workbookViewId="0">
      <selection activeCell="A48" sqref="A48:G49"/>
    </sheetView>
  </sheetViews>
  <sheetFormatPr defaultRowHeight="15"/>
  <cols>
    <col min="1" max="1" width="47.28515625" style="2" customWidth="1"/>
    <col min="2" max="2" width="10" style="1" customWidth="1"/>
    <col min="3" max="3" width="9.140625" style="2"/>
    <col min="4" max="4" width="12.42578125" style="2" customWidth="1"/>
    <col min="5" max="5" width="14.5703125" style="2" customWidth="1"/>
    <col min="6" max="6" width="13" style="2" customWidth="1"/>
    <col min="7" max="7" width="13.85546875" style="2" customWidth="1"/>
    <col min="8" max="8" width="9.140625" style="2"/>
    <col min="9" max="9" width="11.5703125" style="2" bestFit="1" customWidth="1"/>
    <col min="10" max="10" width="9.5703125" style="2" bestFit="1" customWidth="1"/>
    <col min="11" max="11" width="11.5703125" style="2" bestFit="1" customWidth="1"/>
    <col min="12" max="12" width="9.140625" style="2"/>
    <col min="13" max="13" width="10.5703125" style="2" bestFit="1" customWidth="1"/>
    <col min="14" max="16384" width="9.140625" style="2"/>
  </cols>
  <sheetData>
    <row r="2" spans="1:9">
      <c r="A2" s="229" t="s">
        <v>52</v>
      </c>
      <c r="B2" s="230"/>
      <c r="C2" s="230"/>
      <c r="D2" s="230"/>
      <c r="E2" s="230"/>
      <c r="F2" s="230"/>
      <c r="G2" s="230"/>
      <c r="H2" s="230"/>
      <c r="I2" s="231"/>
    </row>
    <row r="3" spans="1:9">
      <c r="A3" s="229" t="s">
        <v>53</v>
      </c>
      <c r="B3" s="230"/>
      <c r="C3" s="230"/>
      <c r="D3" s="230"/>
      <c r="E3" s="230"/>
      <c r="F3" s="230"/>
      <c r="G3" s="230"/>
      <c r="H3" s="230"/>
      <c r="I3" s="231"/>
    </row>
    <row r="4" spans="1:9">
      <c r="A4" s="34"/>
      <c r="B4" s="35"/>
      <c r="C4" s="228" t="s">
        <v>0</v>
      </c>
      <c r="D4" s="228"/>
      <c r="E4" s="15" t="s">
        <v>1</v>
      </c>
      <c r="F4" s="15" t="s">
        <v>2</v>
      </c>
      <c r="G4" s="15" t="s">
        <v>3</v>
      </c>
      <c r="H4" s="15" t="s">
        <v>8</v>
      </c>
      <c r="I4" s="36" t="s">
        <v>9</v>
      </c>
    </row>
    <row r="5" spans="1:9">
      <c r="A5" s="34"/>
      <c r="B5" s="35"/>
      <c r="C5" s="15" t="s">
        <v>4</v>
      </c>
      <c r="D5" s="15" t="s">
        <v>5</v>
      </c>
      <c r="E5" s="15" t="s">
        <v>7</v>
      </c>
      <c r="F5" s="15" t="s">
        <v>6</v>
      </c>
      <c r="G5" s="15" t="s">
        <v>6</v>
      </c>
      <c r="H5" s="15"/>
      <c r="I5" s="36"/>
    </row>
    <row r="6" spans="1:9">
      <c r="A6" s="34" t="s">
        <v>10</v>
      </c>
      <c r="B6" s="35">
        <v>1</v>
      </c>
      <c r="C6" s="15">
        <v>55</v>
      </c>
      <c r="D6" s="15">
        <v>11.2</v>
      </c>
      <c r="E6" s="15">
        <f>D6*C6</f>
        <v>616</v>
      </c>
      <c r="F6" s="15">
        <f>7.7*4+45.2</f>
        <v>76</v>
      </c>
      <c r="G6" s="15">
        <f>55*2+11.2*2</f>
        <v>132.4</v>
      </c>
      <c r="H6" s="15"/>
      <c r="I6" s="36"/>
    </row>
    <row r="7" spans="1:9">
      <c r="A7" s="34" t="s">
        <v>11</v>
      </c>
      <c r="B7" s="35">
        <v>2</v>
      </c>
      <c r="C7" s="15">
        <f>10.3+3.3</f>
        <v>13.600000000000001</v>
      </c>
      <c r="D7" s="15">
        <v>6.6</v>
      </c>
      <c r="E7" s="15">
        <f t="shared" ref="E7:E21" si="0">D7*C7</f>
        <v>89.76</v>
      </c>
      <c r="F7" s="15">
        <f>9+10.3</f>
        <v>19.3</v>
      </c>
      <c r="G7" s="15">
        <f>10.3*2+6.5</f>
        <v>27.1</v>
      </c>
      <c r="H7" s="15"/>
      <c r="I7" s="36">
        <f>9+16+7</f>
        <v>32</v>
      </c>
    </row>
    <row r="8" spans="1:9">
      <c r="A8" s="34" t="s">
        <v>12</v>
      </c>
      <c r="B8" s="35">
        <v>3</v>
      </c>
      <c r="C8" s="15">
        <v>11.2</v>
      </c>
      <c r="D8" s="15">
        <v>5.8</v>
      </c>
      <c r="E8" s="15">
        <f t="shared" si="0"/>
        <v>64.959999999999994</v>
      </c>
      <c r="F8" s="15"/>
      <c r="G8" s="15">
        <v>11.2</v>
      </c>
      <c r="H8" s="15">
        <f>12+11.5</f>
        <v>23.5</v>
      </c>
      <c r="I8" s="36"/>
    </row>
    <row r="9" spans="1:9">
      <c r="A9" s="34" t="s">
        <v>13</v>
      </c>
      <c r="B9" s="35">
        <v>4</v>
      </c>
      <c r="C9" s="15">
        <v>5.8</v>
      </c>
      <c r="D9" s="15">
        <v>4.2</v>
      </c>
      <c r="E9" s="15">
        <f t="shared" si="0"/>
        <v>24.36</v>
      </c>
      <c r="F9" s="15"/>
      <c r="G9" s="15">
        <f>4.5+6</f>
        <v>10.5</v>
      </c>
      <c r="H9" s="15">
        <f>5.8+4.2+5.8</f>
        <v>15.8</v>
      </c>
      <c r="I9" s="36"/>
    </row>
    <row r="10" spans="1:9">
      <c r="A10" s="34" t="s">
        <v>14</v>
      </c>
      <c r="B10" s="35">
        <v>5</v>
      </c>
      <c r="C10" s="15">
        <f>8.2+6.8</f>
        <v>15</v>
      </c>
      <c r="D10" s="15">
        <v>8.1999999999999993</v>
      </c>
      <c r="E10" s="15">
        <f t="shared" si="0"/>
        <v>122.99999999999999</v>
      </c>
      <c r="F10" s="15">
        <f>5.4*4+7</f>
        <v>28.6</v>
      </c>
      <c r="G10" s="15">
        <f>(8.2+6.8)*2+8.2</f>
        <v>38.200000000000003</v>
      </c>
      <c r="H10" s="15"/>
      <c r="I10" s="36"/>
    </row>
    <row r="11" spans="1:9">
      <c r="A11" s="34" t="s">
        <v>15</v>
      </c>
      <c r="B11" s="35">
        <v>6</v>
      </c>
      <c r="C11" s="15">
        <v>54</v>
      </c>
      <c r="D11" s="15">
        <v>8.8000000000000007</v>
      </c>
      <c r="E11" s="15">
        <f t="shared" si="0"/>
        <v>475.20000000000005</v>
      </c>
      <c r="F11" s="15"/>
      <c r="G11" s="15">
        <v>54</v>
      </c>
      <c r="H11" s="15">
        <f>20.8+54</f>
        <v>74.8</v>
      </c>
      <c r="I11" s="36">
        <v>54</v>
      </c>
    </row>
    <row r="12" spans="1:9">
      <c r="A12" s="34" t="s">
        <v>16</v>
      </c>
      <c r="B12" s="35">
        <v>7</v>
      </c>
      <c r="C12" s="15"/>
      <c r="D12" s="15"/>
      <c r="E12" s="15">
        <f>6.8*5+1.2*2.5</f>
        <v>37</v>
      </c>
      <c r="F12" s="15"/>
      <c r="G12" s="15">
        <f>6.8+1.2+2.5</f>
        <v>10.5</v>
      </c>
      <c r="H12" s="15">
        <v>15</v>
      </c>
      <c r="I12" s="36">
        <v>7.5</v>
      </c>
    </row>
    <row r="13" spans="1:9">
      <c r="A13" s="34" t="s">
        <v>17</v>
      </c>
      <c r="B13" s="35">
        <v>8</v>
      </c>
      <c r="C13" s="15">
        <v>6</v>
      </c>
      <c r="D13" s="15">
        <v>5.8</v>
      </c>
      <c r="E13" s="15">
        <f t="shared" si="0"/>
        <v>34.799999999999997</v>
      </c>
      <c r="F13" s="15"/>
      <c r="G13" s="15"/>
      <c r="H13" s="15">
        <v>18</v>
      </c>
      <c r="I13" s="36">
        <v>6</v>
      </c>
    </row>
    <row r="14" spans="1:9">
      <c r="A14" s="34" t="s">
        <v>18</v>
      </c>
      <c r="B14" s="35">
        <v>9</v>
      </c>
      <c r="C14" s="15">
        <v>5.8</v>
      </c>
      <c r="D14" s="15">
        <v>4.3</v>
      </c>
      <c r="E14" s="15">
        <f t="shared" si="0"/>
        <v>24.939999999999998</v>
      </c>
      <c r="F14" s="15"/>
      <c r="G14" s="15"/>
      <c r="H14" s="15">
        <f>12+4.5</f>
        <v>16.5</v>
      </c>
      <c r="I14" s="36"/>
    </row>
    <row r="15" spans="1:9">
      <c r="A15" s="34" t="s">
        <v>19</v>
      </c>
      <c r="B15" s="35">
        <v>10</v>
      </c>
      <c r="C15" s="15">
        <v>16.5</v>
      </c>
      <c r="D15" s="15">
        <v>5.5</v>
      </c>
      <c r="E15" s="15">
        <f t="shared" si="0"/>
        <v>90.75</v>
      </c>
      <c r="F15" s="15"/>
      <c r="G15" s="15"/>
      <c r="H15" s="15">
        <f>11+16.5</f>
        <v>27.5</v>
      </c>
      <c r="I15" s="36">
        <v>17</v>
      </c>
    </row>
    <row r="16" spans="1:9">
      <c r="A16" s="34" t="s">
        <v>20</v>
      </c>
      <c r="B16" s="35">
        <v>11</v>
      </c>
      <c r="C16" s="15">
        <v>15.6</v>
      </c>
      <c r="D16" s="15">
        <v>9.4</v>
      </c>
      <c r="E16" s="15">
        <f t="shared" si="0"/>
        <v>146.64000000000001</v>
      </c>
      <c r="F16" s="15"/>
      <c r="G16" s="15">
        <v>15.6</v>
      </c>
      <c r="H16" s="15">
        <f>15.6+9.4+9.4</f>
        <v>34.4</v>
      </c>
      <c r="I16" s="36"/>
    </row>
    <row r="17" spans="1:13">
      <c r="A17" s="34" t="s">
        <v>21</v>
      </c>
      <c r="B17" s="35">
        <v>12</v>
      </c>
      <c r="C17" s="15">
        <v>15.5</v>
      </c>
      <c r="D17" s="15">
        <v>7.7</v>
      </c>
      <c r="E17" s="15">
        <f t="shared" si="0"/>
        <v>119.35000000000001</v>
      </c>
      <c r="F17" s="15"/>
      <c r="G17" s="15">
        <v>15.5</v>
      </c>
      <c r="H17" s="15">
        <f>7.7*2+15.5</f>
        <v>30.9</v>
      </c>
      <c r="I17" s="36"/>
    </row>
    <row r="18" spans="1:13">
      <c r="A18" s="34" t="s">
        <v>22</v>
      </c>
      <c r="B18" s="35">
        <v>13</v>
      </c>
      <c r="C18" s="15">
        <v>33.4</v>
      </c>
      <c r="D18" s="15">
        <v>7.5</v>
      </c>
      <c r="E18" s="15">
        <f t="shared" si="0"/>
        <v>250.5</v>
      </c>
      <c r="F18" s="15"/>
      <c r="G18" s="15">
        <v>33.4</v>
      </c>
      <c r="H18" s="15">
        <f>15+33.5</f>
        <v>48.5</v>
      </c>
      <c r="I18" s="36">
        <v>33.4</v>
      </c>
    </row>
    <row r="19" spans="1:13">
      <c r="A19" s="34" t="s">
        <v>23</v>
      </c>
      <c r="B19" s="35">
        <v>14</v>
      </c>
      <c r="C19" s="15">
        <v>11.6</v>
      </c>
      <c r="D19" s="15">
        <v>7.6</v>
      </c>
      <c r="E19" s="15">
        <f t="shared" si="0"/>
        <v>88.16</v>
      </c>
      <c r="F19" s="15">
        <v>11.6</v>
      </c>
      <c r="G19" s="15">
        <f>7.6*2+11.6*2</f>
        <v>38.4</v>
      </c>
      <c r="H19" s="15"/>
      <c r="I19" s="36"/>
    </row>
    <row r="20" spans="1:13">
      <c r="A20" s="34" t="s">
        <v>24</v>
      </c>
      <c r="B20" s="35">
        <v>15</v>
      </c>
      <c r="C20" s="15">
        <f>3.9*2+4</f>
        <v>11.8</v>
      </c>
      <c r="D20" s="15">
        <v>8</v>
      </c>
      <c r="E20" s="15">
        <f t="shared" si="0"/>
        <v>94.4</v>
      </c>
      <c r="F20" s="15">
        <f>5.2*4+4</f>
        <v>24.8</v>
      </c>
      <c r="G20" s="15"/>
      <c r="H20" s="15"/>
      <c r="I20" s="36">
        <f>11.8*2+16</f>
        <v>39.6</v>
      </c>
    </row>
    <row r="21" spans="1:13">
      <c r="A21" s="34" t="s">
        <v>25</v>
      </c>
      <c r="B21" s="35">
        <v>16</v>
      </c>
      <c r="C21" s="15">
        <v>21</v>
      </c>
      <c r="D21" s="15">
        <f>6.7*2</f>
        <v>13.4</v>
      </c>
      <c r="E21" s="15">
        <f t="shared" si="0"/>
        <v>281.40000000000003</v>
      </c>
      <c r="F21" s="15">
        <v>21</v>
      </c>
      <c r="G21" s="15">
        <f>42+14*2</f>
        <v>70</v>
      </c>
      <c r="H21" s="15">
        <f>28</f>
        <v>28</v>
      </c>
      <c r="I21" s="36">
        <v>42</v>
      </c>
    </row>
    <row r="22" spans="1:13">
      <c r="A22" s="34"/>
      <c r="B22" s="35"/>
      <c r="C22" s="15"/>
      <c r="D22" s="15"/>
      <c r="E22" s="15"/>
      <c r="F22" s="15"/>
      <c r="G22" s="15"/>
      <c r="H22" s="15"/>
      <c r="I22" s="36"/>
    </row>
    <row r="23" spans="1:13">
      <c r="A23" s="3"/>
      <c r="B23" s="4"/>
      <c r="C23" s="3"/>
      <c r="D23" s="3"/>
      <c r="E23" s="3" t="s">
        <v>1</v>
      </c>
      <c r="F23" s="3" t="s">
        <v>2</v>
      </c>
      <c r="G23" s="3" t="s">
        <v>3</v>
      </c>
      <c r="H23" s="3" t="s">
        <v>8</v>
      </c>
      <c r="I23" s="3" t="s">
        <v>9</v>
      </c>
    </row>
    <row r="24" spans="1:13">
      <c r="A24" s="3" t="s">
        <v>26</v>
      </c>
      <c r="B24" s="4"/>
      <c r="C24" s="3"/>
      <c r="D24" s="3"/>
      <c r="E24" s="3">
        <f>SUM(E6:E23)</f>
        <v>2561.2200000000003</v>
      </c>
      <c r="F24" s="3">
        <f>SUM(F6:F23)</f>
        <v>181.3</v>
      </c>
      <c r="G24" s="3">
        <f>SUM(G6:G23)</f>
        <v>456.79999999999995</v>
      </c>
      <c r="H24" s="3">
        <f>SUM(H6:H23)</f>
        <v>332.9</v>
      </c>
      <c r="I24" s="3">
        <f>SUM(I6:I23)</f>
        <v>231.5</v>
      </c>
    </row>
    <row r="26" spans="1:13" ht="15.75" thickBot="1"/>
    <row r="27" spans="1:13" ht="46.5" customHeight="1" thickBot="1">
      <c r="A27" s="245" t="s">
        <v>47</v>
      </c>
      <c r="B27" s="246"/>
      <c r="C27" s="246"/>
      <c r="D27" s="246"/>
      <c r="E27" s="246"/>
      <c r="F27" s="246"/>
      <c r="G27" s="247"/>
    </row>
    <row r="28" spans="1:13" ht="15.75" thickTop="1">
      <c r="A28" s="240" t="s">
        <v>42</v>
      </c>
      <c r="B28" s="241"/>
      <c r="C28" s="241"/>
      <c r="D28" s="241"/>
      <c r="E28" s="241"/>
      <c r="F28" s="242"/>
      <c r="G28" s="22" t="s">
        <v>41</v>
      </c>
    </row>
    <row r="29" spans="1:13">
      <c r="A29" s="23"/>
      <c r="B29" s="17"/>
      <c r="C29" s="17"/>
      <c r="D29" s="17" t="s">
        <v>27</v>
      </c>
      <c r="E29" s="17" t="s">
        <v>37</v>
      </c>
      <c r="F29" s="17" t="s">
        <v>40</v>
      </c>
      <c r="G29" s="24">
        <v>0.3</v>
      </c>
    </row>
    <row r="30" spans="1:13">
      <c r="A30" s="25" t="s">
        <v>48</v>
      </c>
      <c r="B30" s="5"/>
      <c r="C30" s="5"/>
      <c r="D30" s="5"/>
      <c r="E30" s="5"/>
      <c r="F30" s="5"/>
      <c r="G30" s="26">
        <v>5000</v>
      </c>
    </row>
    <row r="31" spans="1:13">
      <c r="A31" s="27" t="s">
        <v>34</v>
      </c>
      <c r="B31" s="7">
        <v>1600</v>
      </c>
      <c r="C31" s="7" t="s">
        <v>28</v>
      </c>
      <c r="D31" s="7">
        <v>40</v>
      </c>
      <c r="E31" s="7">
        <f>D31*1.4</f>
        <v>56</v>
      </c>
      <c r="F31" s="9">
        <f>E31*B31</f>
        <v>89600</v>
      </c>
      <c r="G31" s="26">
        <f>F31*1.3</f>
        <v>116480</v>
      </c>
      <c r="I31" s="2">
        <v>616</v>
      </c>
      <c r="J31" s="2">
        <f>B31-I32</f>
        <v>1257.7777777777778</v>
      </c>
      <c r="K31" s="2">
        <f>D31+E31</f>
        <v>96</v>
      </c>
      <c r="M31" s="2">
        <f>616/1600</f>
        <v>0.38500000000000001</v>
      </c>
    </row>
    <row r="32" spans="1:13">
      <c r="A32" s="28" t="s">
        <v>29</v>
      </c>
      <c r="B32" s="9">
        <v>650</v>
      </c>
      <c r="C32" s="9" t="s">
        <v>28</v>
      </c>
      <c r="D32" s="9">
        <v>1.5</v>
      </c>
      <c r="E32" s="7">
        <f t="shared" ref="E32:E39" si="1">D32*1.4</f>
        <v>2.0999999999999996</v>
      </c>
      <c r="F32" s="9">
        <f t="shared" ref="F32:F39" si="2">E32*B32</f>
        <v>1364.9999999999998</v>
      </c>
      <c r="G32" s="26">
        <f t="shared" ref="G32:G39" si="3">F32*1.3</f>
        <v>1774.4999999999998</v>
      </c>
      <c r="I32" s="2">
        <f>I31/1.8</f>
        <v>342.22222222222223</v>
      </c>
      <c r="K32" s="2">
        <f>K31*I31</f>
        <v>59136</v>
      </c>
    </row>
    <row r="33" spans="1:13">
      <c r="A33" s="28"/>
      <c r="B33" s="9"/>
      <c r="C33" s="9"/>
      <c r="D33" s="9"/>
      <c r="E33" s="7">
        <f t="shared" si="1"/>
        <v>0</v>
      </c>
      <c r="F33" s="9">
        <f t="shared" si="2"/>
        <v>0</v>
      </c>
      <c r="G33" s="26">
        <f t="shared" si="3"/>
        <v>0</v>
      </c>
      <c r="M33" s="2">
        <f>G31*0.6</f>
        <v>69888</v>
      </c>
    </row>
    <row r="34" spans="1:13">
      <c r="A34" s="28" t="s">
        <v>30</v>
      </c>
      <c r="B34" s="9">
        <v>250</v>
      </c>
      <c r="C34" s="9" t="s">
        <v>6</v>
      </c>
      <c r="D34" s="9">
        <v>30</v>
      </c>
      <c r="E34" s="7">
        <f t="shared" si="1"/>
        <v>42</v>
      </c>
      <c r="F34" s="9">
        <f t="shared" si="2"/>
        <v>10500</v>
      </c>
      <c r="G34" s="26">
        <f t="shared" si="3"/>
        <v>13650</v>
      </c>
      <c r="M34" s="2">
        <f>G31-M33</f>
        <v>46592</v>
      </c>
    </row>
    <row r="35" spans="1:13">
      <c r="A35" s="28" t="s">
        <v>35</v>
      </c>
      <c r="B35" s="9">
        <v>350</v>
      </c>
      <c r="C35" s="9" t="s">
        <v>36</v>
      </c>
      <c r="D35" s="9">
        <v>30</v>
      </c>
      <c r="E35" s="7">
        <f t="shared" si="1"/>
        <v>42</v>
      </c>
      <c r="F35" s="9">
        <f t="shared" si="2"/>
        <v>14700</v>
      </c>
      <c r="G35" s="26">
        <f t="shared" si="3"/>
        <v>19110</v>
      </c>
      <c r="M35" s="2">
        <f>180-45</f>
        <v>135</v>
      </c>
    </row>
    <row r="36" spans="1:13">
      <c r="A36" s="28" t="s">
        <v>31</v>
      </c>
      <c r="B36" s="9">
        <v>30</v>
      </c>
      <c r="C36" s="9" t="s">
        <v>6</v>
      </c>
      <c r="D36" s="9">
        <v>25</v>
      </c>
      <c r="E36" s="7">
        <f t="shared" si="1"/>
        <v>35</v>
      </c>
      <c r="F36" s="9">
        <f t="shared" si="2"/>
        <v>1050</v>
      </c>
      <c r="G36" s="26">
        <f t="shared" si="3"/>
        <v>1365</v>
      </c>
    </row>
    <row r="37" spans="1:13">
      <c r="A37" s="28" t="s">
        <v>32</v>
      </c>
      <c r="B37" s="9">
        <v>30</v>
      </c>
      <c r="C37" s="9" t="s">
        <v>28</v>
      </c>
      <c r="D37" s="9">
        <v>10</v>
      </c>
      <c r="E37" s="7">
        <f t="shared" si="1"/>
        <v>14</v>
      </c>
      <c r="F37" s="9">
        <f t="shared" si="2"/>
        <v>420</v>
      </c>
      <c r="G37" s="26">
        <f t="shared" si="3"/>
        <v>546</v>
      </c>
      <c r="I37" s="2" t="s">
        <v>63</v>
      </c>
    </row>
    <row r="38" spans="1:13">
      <c r="A38" s="28" t="s">
        <v>38</v>
      </c>
      <c r="B38" s="9">
        <v>460</v>
      </c>
      <c r="C38" s="9" t="s">
        <v>7</v>
      </c>
      <c r="D38" s="9">
        <v>22</v>
      </c>
      <c r="E38" s="9">
        <f t="shared" si="1"/>
        <v>30.799999999999997</v>
      </c>
      <c r="F38" s="9">
        <f t="shared" si="2"/>
        <v>14167.999999999998</v>
      </c>
      <c r="G38" s="26">
        <f t="shared" si="3"/>
        <v>18418.399999999998</v>
      </c>
    </row>
    <row r="39" spans="1:13">
      <c r="A39" s="28" t="s">
        <v>39</v>
      </c>
      <c r="B39" s="9">
        <v>50</v>
      </c>
      <c r="C39" s="9" t="s">
        <v>7</v>
      </c>
      <c r="D39" s="9">
        <v>45</v>
      </c>
      <c r="E39" s="9">
        <f t="shared" si="1"/>
        <v>62.999999999999993</v>
      </c>
      <c r="F39" s="9">
        <f t="shared" si="2"/>
        <v>3149.9999999999995</v>
      </c>
      <c r="G39" s="26">
        <f t="shared" si="3"/>
        <v>4094.9999999999995</v>
      </c>
    </row>
    <row r="40" spans="1:13">
      <c r="A40" s="28"/>
      <c r="B40" s="9"/>
      <c r="C40" s="9"/>
      <c r="D40" s="9"/>
      <c r="E40" s="9"/>
      <c r="F40" s="9"/>
      <c r="G40" s="26"/>
    </row>
    <row r="41" spans="1:13" ht="15.75" thickBot="1">
      <c r="A41" s="29" t="s">
        <v>33</v>
      </c>
      <c r="B41" s="30"/>
      <c r="C41" s="30"/>
      <c r="D41" s="30"/>
      <c r="E41" s="30"/>
      <c r="F41" s="31">
        <f>SUM(F31:F39)</f>
        <v>134953</v>
      </c>
      <c r="G41" s="32">
        <f>SUM(G30:G39)</f>
        <v>180438.9</v>
      </c>
      <c r="I41" s="2">
        <f>G41*0.85</f>
        <v>153373.065</v>
      </c>
    </row>
    <row r="42" spans="1:13">
      <c r="A42" s="13"/>
      <c r="B42" s="13"/>
      <c r="C42" s="13"/>
      <c r="D42" s="13"/>
      <c r="E42" s="13"/>
      <c r="F42" s="14"/>
      <c r="G42" s="15"/>
    </row>
    <row r="43" spans="1:13">
      <c r="A43" s="13"/>
      <c r="B43" s="13"/>
      <c r="C43" s="13"/>
      <c r="D43" s="13"/>
      <c r="E43" s="13"/>
      <c r="F43" s="14"/>
      <c r="G43" s="15"/>
    </row>
    <row r="44" spans="1:13" ht="15.75" thickBot="1">
      <c r="A44"/>
      <c r="B44"/>
      <c r="C44"/>
      <c r="D44"/>
      <c r="E44"/>
      <c r="F44"/>
    </row>
    <row r="45" spans="1:13" ht="49.5" customHeight="1" thickBot="1">
      <c r="A45" s="248" t="s">
        <v>49</v>
      </c>
      <c r="B45" s="249"/>
      <c r="C45" s="249"/>
      <c r="D45" s="249"/>
      <c r="E45" s="249"/>
      <c r="F45" s="249"/>
      <c r="G45" s="250"/>
    </row>
    <row r="46" spans="1:13">
      <c r="A46" s="243" t="s">
        <v>43</v>
      </c>
      <c r="B46" s="241"/>
      <c r="C46" s="241"/>
      <c r="D46" s="241"/>
      <c r="E46" s="241"/>
      <c r="F46" s="242"/>
      <c r="G46" s="12" t="s">
        <v>41</v>
      </c>
    </row>
    <row r="47" spans="1:13">
      <c r="A47" s="16"/>
      <c r="B47" s="17"/>
      <c r="C47" s="17"/>
      <c r="D47" s="244" t="s">
        <v>46</v>
      </c>
      <c r="E47" s="244"/>
      <c r="F47" s="17" t="s">
        <v>40</v>
      </c>
      <c r="G47" s="18">
        <v>0.3</v>
      </c>
    </row>
    <row r="48" spans="1:13">
      <c r="A48" s="6" t="s">
        <v>44</v>
      </c>
      <c r="B48" s="7">
        <f>14*2</f>
        <v>28</v>
      </c>
      <c r="C48" s="7" t="s">
        <v>28</v>
      </c>
      <c r="D48" s="7"/>
      <c r="E48" s="7">
        <v>297</v>
      </c>
      <c r="F48" s="9">
        <f>E48*B48</f>
        <v>8316</v>
      </c>
      <c r="G48" s="19">
        <f>F48*1.3</f>
        <v>10810.800000000001</v>
      </c>
    </row>
    <row r="49" spans="1:7">
      <c r="A49" s="8" t="s">
        <v>45</v>
      </c>
      <c r="B49" s="9">
        <f>66*2</f>
        <v>132</v>
      </c>
      <c r="C49" s="9" t="s">
        <v>28</v>
      </c>
      <c r="D49" s="9"/>
      <c r="E49" s="7">
        <v>45.5</v>
      </c>
      <c r="F49" s="9">
        <f>E49*B49</f>
        <v>6006</v>
      </c>
      <c r="G49" s="19">
        <f>F49*1.3</f>
        <v>7807.8</v>
      </c>
    </row>
    <row r="50" spans="1:7">
      <c r="A50" s="8"/>
      <c r="B50" s="9"/>
      <c r="C50" s="9"/>
      <c r="D50" s="9"/>
      <c r="E50" s="7"/>
      <c r="F50" s="9"/>
      <c r="G50" s="19"/>
    </row>
    <row r="51" spans="1:7">
      <c r="A51" s="10" t="s">
        <v>33</v>
      </c>
      <c r="B51" s="11"/>
      <c r="C51" s="11"/>
      <c r="D51" s="11"/>
      <c r="E51" s="11"/>
      <c r="F51" s="20">
        <f>SUM(F48:F50)</f>
        <v>14322</v>
      </c>
      <c r="G51" s="21">
        <f>SUM(G48:G50)</f>
        <v>18618.600000000002</v>
      </c>
    </row>
    <row r="54" spans="1:7">
      <c r="A54" s="251" t="s">
        <v>50</v>
      </c>
      <c r="B54" s="251"/>
      <c r="C54" s="251"/>
      <c r="D54" s="251"/>
      <c r="E54" s="251"/>
      <c r="F54" s="251"/>
      <c r="G54" s="33">
        <f>G51+G41</f>
        <v>199057.5</v>
      </c>
    </row>
    <row r="55" spans="1:7">
      <c r="A55" s="252" t="s">
        <v>51</v>
      </c>
      <c r="B55" s="252"/>
      <c r="C55" s="252"/>
      <c r="D55" s="252"/>
      <c r="E55" s="252"/>
      <c r="F55" s="252"/>
      <c r="G55" s="33">
        <v>200000</v>
      </c>
    </row>
    <row r="58" spans="1:7">
      <c r="A58" s="229" t="s">
        <v>60</v>
      </c>
      <c r="B58" s="230"/>
      <c r="C58" s="230"/>
      <c r="D58" s="230"/>
      <c r="E58" s="230"/>
      <c r="F58" s="230"/>
      <c r="G58" s="231"/>
    </row>
    <row r="59" spans="1:7">
      <c r="A59" s="237" t="s">
        <v>54</v>
      </c>
      <c r="B59" s="238"/>
      <c r="C59" s="238"/>
      <c r="D59" s="238"/>
      <c r="E59" s="238"/>
      <c r="F59" s="238"/>
      <c r="G59" s="239"/>
    </row>
    <row r="60" spans="1:7">
      <c r="A60" s="37"/>
      <c r="B60" s="38"/>
      <c r="C60" s="39"/>
      <c r="D60" s="39"/>
      <c r="E60" s="39" t="s">
        <v>55</v>
      </c>
      <c r="F60" s="39" t="s">
        <v>56</v>
      </c>
      <c r="G60" s="19" t="s">
        <v>57</v>
      </c>
    </row>
    <row r="61" spans="1:7">
      <c r="A61" s="40"/>
      <c r="B61" s="41"/>
      <c r="C61" s="42"/>
      <c r="D61" s="42"/>
      <c r="E61" s="42">
        <f>E24</f>
        <v>2561.2200000000003</v>
      </c>
      <c r="F61" s="42">
        <v>15.74</v>
      </c>
      <c r="G61" s="21">
        <f>F61*E61</f>
        <v>40313.602800000008</v>
      </c>
    </row>
    <row r="62" spans="1:7">
      <c r="A62" s="230" t="s">
        <v>59</v>
      </c>
      <c r="B62" s="230"/>
      <c r="C62" s="230"/>
      <c r="D62" s="230"/>
      <c r="E62" s="230"/>
      <c r="F62" s="230"/>
      <c r="G62" s="231"/>
    </row>
    <row r="63" spans="1:7">
      <c r="A63" s="232" t="s">
        <v>58</v>
      </c>
      <c r="B63" s="233"/>
      <c r="C63" s="233"/>
      <c r="D63" s="233"/>
      <c r="E63" s="233"/>
      <c r="F63" s="43"/>
      <c r="G63" s="44"/>
    </row>
    <row r="64" spans="1:7">
      <c r="A64" s="40"/>
      <c r="B64" s="41"/>
      <c r="C64" s="42"/>
      <c r="D64" s="42"/>
      <c r="E64" s="42">
        <f>E61</f>
        <v>2561.2200000000003</v>
      </c>
      <c r="F64" s="42">
        <v>14.46</v>
      </c>
      <c r="G64" s="21">
        <f>F64*E64</f>
        <v>37035.241200000004</v>
      </c>
    </row>
    <row r="66" spans="1:9">
      <c r="A66" s="45" t="s">
        <v>61</v>
      </c>
      <c r="B66" s="46"/>
      <c r="C66" s="47"/>
      <c r="D66" s="47"/>
      <c r="E66" s="47"/>
      <c r="F66" s="47"/>
      <c r="G66" s="48"/>
    </row>
    <row r="67" spans="1:9" ht="41.25" customHeight="1">
      <c r="A67" s="234" t="s">
        <v>62</v>
      </c>
      <c r="B67" s="235"/>
      <c r="C67" s="235"/>
      <c r="D67" s="235"/>
      <c r="E67" s="235"/>
      <c r="F67" s="235"/>
      <c r="G67" s="236"/>
    </row>
    <row r="69" spans="1:9">
      <c r="A69" s="229" t="s">
        <v>52</v>
      </c>
      <c r="B69" s="230"/>
      <c r="C69" s="230"/>
      <c r="D69" s="230"/>
      <c r="E69" s="230"/>
      <c r="F69" s="230"/>
      <c r="G69" s="230"/>
      <c r="H69" s="230"/>
      <c r="I69" s="231"/>
    </row>
    <row r="70" spans="1:9">
      <c r="A70" s="229" t="s">
        <v>53</v>
      </c>
      <c r="B70" s="230"/>
      <c r="C70" s="230"/>
      <c r="D70" s="230"/>
      <c r="E70" s="230"/>
      <c r="F70" s="230"/>
      <c r="G70" s="230"/>
      <c r="H70" s="230"/>
      <c r="I70" s="231"/>
    </row>
    <row r="71" spans="1:9">
      <c r="A71" s="3"/>
      <c r="B71" s="4"/>
      <c r="C71" s="228" t="s">
        <v>0</v>
      </c>
      <c r="D71" s="228"/>
      <c r="E71" s="3" t="s">
        <v>1</v>
      </c>
      <c r="F71" s="3" t="s">
        <v>2</v>
      </c>
      <c r="G71" s="3" t="s">
        <v>3</v>
      </c>
      <c r="H71" s="3" t="s">
        <v>8</v>
      </c>
      <c r="I71" s="3" t="s">
        <v>9</v>
      </c>
    </row>
    <row r="72" spans="1:9">
      <c r="A72" s="3" t="s">
        <v>26</v>
      </c>
      <c r="B72" s="4"/>
      <c r="C72" s="3"/>
      <c r="D72" s="3"/>
      <c r="E72" s="3">
        <f>SUM(E71:E71)</f>
        <v>0</v>
      </c>
      <c r="F72" s="3">
        <f>SUM(F71:F71)</f>
        <v>0</v>
      </c>
      <c r="G72" s="3">
        <f>SUM(G71:G71)</f>
        <v>0</v>
      </c>
      <c r="H72" s="3">
        <f>SUM(H71:H71)</f>
        <v>0</v>
      </c>
      <c r="I72" s="3">
        <f>SUM(I71:I71)</f>
        <v>0</v>
      </c>
    </row>
    <row r="73" spans="1:9">
      <c r="C73" s="50" t="s">
        <v>4</v>
      </c>
      <c r="D73" s="50" t="s">
        <v>5</v>
      </c>
      <c r="E73" s="50" t="s">
        <v>7</v>
      </c>
      <c r="F73" s="50" t="s">
        <v>6</v>
      </c>
      <c r="G73" s="50" t="s">
        <v>6</v>
      </c>
      <c r="H73" s="50"/>
      <c r="I73" s="36"/>
    </row>
    <row r="74" spans="1:9">
      <c r="A74" s="34" t="s">
        <v>20</v>
      </c>
      <c r="B74" s="35">
        <v>1</v>
      </c>
      <c r="C74" s="49">
        <v>15.6</v>
      </c>
      <c r="D74" s="49">
        <v>9.4</v>
      </c>
      <c r="E74" s="49">
        <f>D74*C74</f>
        <v>146.64000000000001</v>
      </c>
      <c r="F74" s="49"/>
      <c r="G74" s="49">
        <v>15.6</v>
      </c>
      <c r="H74" s="49">
        <f>15.6+9.4+9.4</f>
        <v>34.4</v>
      </c>
      <c r="I74" s="36"/>
    </row>
    <row r="75" spans="1:9">
      <c r="A75" s="34" t="s">
        <v>21</v>
      </c>
      <c r="B75" s="35">
        <v>2</v>
      </c>
      <c r="C75" s="49">
        <v>15.5</v>
      </c>
      <c r="D75" s="49">
        <v>7.7</v>
      </c>
      <c r="E75" s="49">
        <f>D75*C75</f>
        <v>119.35000000000001</v>
      </c>
      <c r="F75" s="49"/>
      <c r="G75" s="49">
        <v>15.5</v>
      </c>
      <c r="H75" s="49">
        <f>7.7*2+15.5</f>
        <v>30.9</v>
      </c>
    </row>
    <row r="76" spans="1:9">
      <c r="A76" s="34" t="s">
        <v>22</v>
      </c>
      <c r="B76" s="35">
        <v>3</v>
      </c>
      <c r="C76" s="49">
        <v>33.4</v>
      </c>
      <c r="D76" s="49">
        <v>7.5</v>
      </c>
      <c r="E76" s="49">
        <f>D76*C76</f>
        <v>250.5</v>
      </c>
      <c r="F76" s="49"/>
      <c r="G76" s="49">
        <v>33.4</v>
      </c>
      <c r="H76" s="49">
        <f>15+33.5</f>
        <v>48.5</v>
      </c>
      <c r="I76" s="36">
        <v>33.4</v>
      </c>
    </row>
    <row r="77" spans="1:9">
      <c r="A77" s="34" t="s">
        <v>19</v>
      </c>
      <c r="B77" s="35">
        <v>4</v>
      </c>
      <c r="C77" s="49">
        <v>16.5</v>
      </c>
      <c r="D77" s="49">
        <v>5.5</v>
      </c>
      <c r="E77" s="49">
        <f>D77*C77</f>
        <v>90.75</v>
      </c>
      <c r="F77" s="49"/>
      <c r="G77" s="49"/>
      <c r="H77" s="49">
        <f>11+16.5</f>
        <v>27.5</v>
      </c>
      <c r="I77" s="36">
        <v>17</v>
      </c>
    </row>
    <row r="78" spans="1:9">
      <c r="A78" s="34" t="s">
        <v>18</v>
      </c>
      <c r="B78" s="35">
        <v>5</v>
      </c>
      <c r="C78" s="49">
        <v>5.8</v>
      </c>
      <c r="D78" s="49">
        <v>4.3</v>
      </c>
      <c r="E78" s="49">
        <f>D78*C78</f>
        <v>24.939999999999998</v>
      </c>
      <c r="F78" s="49"/>
      <c r="G78" s="49"/>
      <c r="H78" s="49">
        <f>12+4.5</f>
        <v>16.5</v>
      </c>
      <c r="I78" s="36"/>
    </row>
    <row r="79" spans="1:9">
      <c r="A79" s="34" t="s">
        <v>16</v>
      </c>
      <c r="B79" s="35">
        <v>6</v>
      </c>
      <c r="C79" s="49"/>
      <c r="D79" s="49"/>
      <c r="E79" s="49">
        <f>6.8*5+1.2*2.5</f>
        <v>37</v>
      </c>
      <c r="F79" s="49"/>
      <c r="G79" s="49">
        <f>6.8+1.2+2.5</f>
        <v>10.5</v>
      </c>
      <c r="H79" s="49">
        <v>15</v>
      </c>
      <c r="I79" s="36">
        <v>7.5</v>
      </c>
    </row>
    <row r="80" spans="1:9">
      <c r="A80" s="34" t="s">
        <v>17</v>
      </c>
      <c r="B80" s="35">
        <v>7</v>
      </c>
      <c r="C80" s="49">
        <v>6</v>
      </c>
      <c r="D80" s="49">
        <v>5.8</v>
      </c>
      <c r="E80" s="49">
        <f t="shared" ref="E80:E89" si="4">D80*C80</f>
        <v>34.799999999999997</v>
      </c>
      <c r="F80" s="49"/>
      <c r="G80" s="49"/>
      <c r="H80" s="49">
        <v>18</v>
      </c>
      <c r="I80" s="36">
        <v>6</v>
      </c>
    </row>
    <row r="81" spans="1:11">
      <c r="A81" s="34" t="s">
        <v>15</v>
      </c>
      <c r="B81" s="35">
        <v>8</v>
      </c>
      <c r="C81" s="49">
        <v>54</v>
      </c>
      <c r="D81" s="49">
        <v>8.8000000000000007</v>
      </c>
      <c r="E81" s="49">
        <f t="shared" si="4"/>
        <v>475.20000000000005</v>
      </c>
      <c r="F81" s="49"/>
      <c r="G81" s="49">
        <v>54</v>
      </c>
      <c r="H81" s="49">
        <f>20.8+54</f>
        <v>74.8</v>
      </c>
      <c r="I81" s="36">
        <v>54</v>
      </c>
    </row>
    <row r="82" spans="1:11">
      <c r="A82" s="34" t="s">
        <v>12</v>
      </c>
      <c r="B82" s="35">
        <v>9</v>
      </c>
      <c r="C82" s="49">
        <v>11.2</v>
      </c>
      <c r="D82" s="49">
        <v>5.8</v>
      </c>
      <c r="E82" s="49">
        <f t="shared" si="4"/>
        <v>64.959999999999994</v>
      </c>
      <c r="F82" s="49"/>
      <c r="G82" s="49">
        <v>11.2</v>
      </c>
      <c r="H82" s="49">
        <f>12+11.5</f>
        <v>23.5</v>
      </c>
      <c r="I82" s="36"/>
    </row>
    <row r="83" spans="1:11">
      <c r="A83" s="34" t="s">
        <v>13</v>
      </c>
      <c r="B83" s="35">
        <v>10</v>
      </c>
      <c r="C83" s="49">
        <v>5.8</v>
      </c>
      <c r="D83" s="49">
        <v>4.2</v>
      </c>
      <c r="E83" s="49">
        <f t="shared" si="4"/>
        <v>24.36</v>
      </c>
      <c r="F83" s="49"/>
      <c r="G83" s="49">
        <f>4.5+6</f>
        <v>10.5</v>
      </c>
      <c r="H83" s="49">
        <f>5.8+4.2+5.8</f>
        <v>15.8</v>
      </c>
      <c r="I83" s="36"/>
    </row>
    <row r="84" spans="1:11">
      <c r="A84" s="34" t="s">
        <v>14</v>
      </c>
      <c r="B84" s="35">
        <v>11</v>
      </c>
      <c r="C84" s="49">
        <f>8.2+6.8</f>
        <v>15</v>
      </c>
      <c r="D84" s="49">
        <v>8.1999999999999993</v>
      </c>
      <c r="E84" s="49">
        <f t="shared" si="4"/>
        <v>122.99999999999999</v>
      </c>
      <c r="F84" s="49">
        <f>5.4*4+7</f>
        <v>28.6</v>
      </c>
      <c r="G84" s="49">
        <f>(8.2+6.8)*2+8.2</f>
        <v>38.200000000000003</v>
      </c>
      <c r="H84" s="49"/>
      <c r="I84" s="36"/>
    </row>
    <row r="85" spans="1:11">
      <c r="A85" s="34" t="s">
        <v>11</v>
      </c>
      <c r="B85" s="35">
        <v>12</v>
      </c>
      <c r="C85" s="49">
        <f>10.3+3.3</f>
        <v>13.600000000000001</v>
      </c>
      <c r="D85" s="49">
        <v>6.6</v>
      </c>
      <c r="E85" s="49">
        <f t="shared" si="4"/>
        <v>89.76</v>
      </c>
      <c r="F85" s="49">
        <f>9+10.3</f>
        <v>19.3</v>
      </c>
      <c r="G85" s="49">
        <f>10.3*2+6.5</f>
        <v>27.1</v>
      </c>
      <c r="H85" s="49"/>
      <c r="I85" s="36">
        <f>9+16+7</f>
        <v>32</v>
      </c>
    </row>
    <row r="86" spans="1:11">
      <c r="A86" s="34" t="s">
        <v>10</v>
      </c>
      <c r="B86" s="35">
        <v>13</v>
      </c>
      <c r="C86" s="49">
        <v>55</v>
      </c>
      <c r="D86" s="49">
        <v>11.2</v>
      </c>
      <c r="E86" s="49">
        <f t="shared" si="4"/>
        <v>616</v>
      </c>
      <c r="F86" s="49">
        <f>7.7*4+45.2</f>
        <v>76</v>
      </c>
      <c r="G86" s="49">
        <f>55*2+11.2*2</f>
        <v>132.4</v>
      </c>
    </row>
    <row r="87" spans="1:11">
      <c r="A87" s="34" t="s">
        <v>23</v>
      </c>
      <c r="B87" s="35">
        <v>14</v>
      </c>
      <c r="C87" s="49">
        <v>11.6</v>
      </c>
      <c r="D87" s="49">
        <v>7.6</v>
      </c>
      <c r="E87" s="49">
        <f t="shared" si="4"/>
        <v>88.16</v>
      </c>
      <c r="F87" s="49">
        <v>11.6</v>
      </c>
      <c r="G87" s="49">
        <f>7.6*2+11.6*2</f>
        <v>38.4</v>
      </c>
    </row>
    <row r="88" spans="1:11">
      <c r="A88" s="34" t="s">
        <v>24</v>
      </c>
      <c r="B88" s="35">
        <v>15</v>
      </c>
      <c r="C88" s="49">
        <f>3.9*2+4</f>
        <v>11.8</v>
      </c>
      <c r="D88" s="49">
        <v>8</v>
      </c>
      <c r="E88" s="49">
        <f t="shared" si="4"/>
        <v>94.4</v>
      </c>
      <c r="F88" s="49">
        <f>5.2*4+4</f>
        <v>24.8</v>
      </c>
      <c r="G88" s="49"/>
      <c r="H88" s="49"/>
      <c r="I88" s="36">
        <f>11.8*2+16</f>
        <v>39.6</v>
      </c>
    </row>
    <row r="89" spans="1:11">
      <c r="A89" s="34" t="s">
        <v>25</v>
      </c>
      <c r="B89" s="35">
        <v>16</v>
      </c>
      <c r="C89" s="49">
        <v>21</v>
      </c>
      <c r="D89" s="49">
        <f>6.7*2</f>
        <v>13.4</v>
      </c>
      <c r="E89" s="49">
        <f t="shared" si="4"/>
        <v>281.40000000000003</v>
      </c>
      <c r="F89" s="49">
        <v>21</v>
      </c>
      <c r="G89" s="49">
        <f>42+14*2</f>
        <v>70</v>
      </c>
      <c r="H89" s="49">
        <f>28</f>
        <v>28</v>
      </c>
      <c r="I89" s="36">
        <v>42</v>
      </c>
    </row>
    <row r="90" spans="1:11">
      <c r="A90" s="2" t="s">
        <v>64</v>
      </c>
      <c r="B90" s="1">
        <v>17</v>
      </c>
      <c r="H90" s="2">
        <v>18</v>
      </c>
    </row>
    <row r="93" spans="1:11" customFormat="1">
      <c r="A93" s="51"/>
      <c r="B93" s="52"/>
      <c r="C93" s="53"/>
      <c r="D93" s="54"/>
      <c r="E93" s="52"/>
      <c r="F93" s="54"/>
      <c r="G93" s="55"/>
      <c r="H93" s="54"/>
      <c r="I93" s="55"/>
      <c r="J93" s="55"/>
      <c r="K93" s="56"/>
    </row>
  </sheetData>
  <mergeCells count="18">
    <mergeCell ref="A2:I2"/>
    <mergeCell ref="A3:I3"/>
    <mergeCell ref="A59:G59"/>
    <mergeCell ref="A58:G58"/>
    <mergeCell ref="C4:D4"/>
    <mergeCell ref="A28:F28"/>
    <mergeCell ref="A46:F46"/>
    <mergeCell ref="D47:E47"/>
    <mergeCell ref="A27:G27"/>
    <mergeCell ref="A45:G45"/>
    <mergeCell ref="A54:F54"/>
    <mergeCell ref="A55:F55"/>
    <mergeCell ref="C71:D71"/>
    <mergeCell ref="A69:I69"/>
    <mergeCell ref="A70:I70"/>
    <mergeCell ref="A63:E63"/>
    <mergeCell ref="A62:G62"/>
    <mergeCell ref="A67:G67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composição_orçamento</vt:lpstr>
      <vt:lpstr>CRONOGRAMA</vt:lpstr>
      <vt:lpstr>Plan1</vt:lpstr>
      <vt:lpstr>composição_orçamento!Area_de_impressao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2017-06-02T19:16:03Z</cp:lastPrinted>
  <dcterms:created xsi:type="dcterms:W3CDTF">2017-05-09T21:07:22Z</dcterms:created>
  <dcterms:modified xsi:type="dcterms:W3CDTF">2017-06-02T19:23:25Z</dcterms:modified>
</cp:coreProperties>
</file>