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Bruno\Dropbox\#PROPAV\1 PROJETOS DIVERSOS\Clínica ODONTO\DOCUMENTOS LICITAÇÃO\"/>
    </mc:Choice>
  </mc:AlternateContent>
  <bookViews>
    <workbookView xWindow="-15" yWindow="405" windowWidth="12120" windowHeight="3825" tabRatio="945" firstSheet="2" activeTab="2"/>
  </bookViews>
  <sheets>
    <sheet name="ORCAMENTO" sheetId="1" state="hidden" r:id="rId1"/>
    <sheet name="Crono Inicial" sheetId="68" state="hidden" r:id="rId2"/>
    <sheet name="Crono Inicial (2)" sheetId="69" r:id="rId3"/>
  </sheets>
  <externalReferences>
    <externalReference r:id="rId4"/>
    <externalReference r:id="rId5"/>
    <externalReference r:id="rId6"/>
    <externalReference r:id="rId7"/>
  </externalReferences>
  <definedNames>
    <definedName name="__ler1" localSheetId="1">#REF!</definedName>
    <definedName name="__ler1" localSheetId="2">#REF!</definedName>
    <definedName name="__ler1">#REF!</definedName>
    <definedName name="_xlnm._FilterDatabase" localSheetId="0" hidden="1">ORCAMENTO!$A$4:$I$512</definedName>
    <definedName name="_ler1" localSheetId="1">#REF!</definedName>
    <definedName name="_ler1" localSheetId="2">#REF!</definedName>
    <definedName name="_ler1">#REF!</definedName>
    <definedName name="aaa" localSheetId="1">#REF!</definedName>
    <definedName name="aaa" localSheetId="2">#REF!</definedName>
    <definedName name="aaa">ORCAMENTO!#REF!</definedName>
    <definedName name="AFSUB" localSheetId="1">[1]MatInstal!#REF!</definedName>
    <definedName name="AFSUB" localSheetId="2">[1]MatInstal!#REF!</definedName>
    <definedName name="AFSUB">[1]MatInstal!#REF!</definedName>
    <definedName name="AGU" localSheetId="1">#REF!</definedName>
    <definedName name="AGU" localSheetId="2">#REF!</definedName>
    <definedName name="AGU">ORCAMENTO!#REF!</definedName>
    <definedName name="_xlnm.Print_Area" localSheetId="0">ORCAMENTO!$B$1:$I$525</definedName>
    <definedName name="BuiltIn_Print_Area" localSheetId="1">#REF!</definedName>
    <definedName name="BuiltIn_Print_Area" localSheetId="2">#REF!</definedName>
    <definedName name="BuiltIn_Print_Area">#REF!</definedName>
    <definedName name="CAR" localSheetId="1">#REF!</definedName>
    <definedName name="CAR" localSheetId="2">#REF!</definedName>
    <definedName name="CAR">ORCAMENTO!#REF!</definedName>
    <definedName name="COB" localSheetId="1">#REF!</definedName>
    <definedName name="COB" localSheetId="2">#REF!</definedName>
    <definedName name="COB">ORCAMENTO!#REF!</definedName>
    <definedName name="cobcsmaq">[2]HidroSanitário!$B$686:$B$697</definedName>
    <definedName name="cobcsmaq1">[2]HidroSanitário!$C$686:$C$697</definedName>
    <definedName name="cx">[2]HidroSanitário!$B$627:$B$679</definedName>
    <definedName name="cxdag1">[2]HidroSanitário!$C$628:$C$679</definedName>
    <definedName name="DIV" localSheetId="1">#REF!</definedName>
    <definedName name="DIV" localSheetId="2">#REF!</definedName>
    <definedName name="DIV">ORCAMENTO!#REF!</definedName>
    <definedName name="DS" localSheetId="2">[3]ORCAMENTO!#REF!</definedName>
    <definedName name="DS">[3]ORCAMENTO!#REF!</definedName>
    <definedName name="DSD" localSheetId="2">[3]ORCAMENTO!#REF!</definedName>
    <definedName name="DSD">[3]ORCAMENTO!#REF!</definedName>
    <definedName name="duplexinf">[2]HidroSanitário!$B$451:$B$534</definedName>
    <definedName name="duplexinf1">[2]HidroSanitário!$C$451:$C$534</definedName>
    <definedName name="duplexsup">[2]HidroSanitário!$B$541:$B$620</definedName>
    <definedName name="duplexsup1">[2]HidroSanitário!$C$541:$C$620</definedName>
    <definedName name="ELT" localSheetId="1">#REF!</definedName>
    <definedName name="ELT" localSheetId="2">#REF!</definedName>
    <definedName name="ELT">ORCAMENTO!#REF!</definedName>
    <definedName name="ESG" localSheetId="1">#REF!</definedName>
    <definedName name="ESG" localSheetId="2">#REF!</definedName>
    <definedName name="ESG">ORCAMENTO!#REF!</definedName>
    <definedName name="EST" localSheetId="1">#REF!</definedName>
    <definedName name="EST" localSheetId="2">#REF!</definedName>
    <definedName name="EST">ORCAMENTO!#REF!</definedName>
    <definedName name="FER" localSheetId="1">#REF!</definedName>
    <definedName name="FER" localSheetId="2">#REF!</definedName>
    <definedName name="FER">ORCAMENTO!#REF!</definedName>
    <definedName name="FUN" localSheetId="1">#REF!</definedName>
    <definedName name="FUN" localSheetId="2">#REF!</definedName>
    <definedName name="FUN">ORCAMENTO!#REF!</definedName>
    <definedName name="IMP" localSheetId="1">#REF!</definedName>
    <definedName name="IMP" localSheetId="2">#REF!</definedName>
    <definedName name="IMP">ORCAMENTO!#REF!</definedName>
    <definedName name="INC" localSheetId="1">#REF!</definedName>
    <definedName name="INC" localSheetId="2">#REF!</definedName>
    <definedName name="INC">ORCAMENTO!#REF!</definedName>
    <definedName name="ler" localSheetId="1">#REF!</definedName>
    <definedName name="ler" localSheetId="2">#REF!</definedName>
    <definedName name="ler">#REF!</definedName>
    <definedName name="Letras" localSheetId="1">#REF!</definedName>
    <definedName name="Letras" localSheetId="2">#REF!</definedName>
    <definedName name="Letras">#REF!</definedName>
    <definedName name="LIM" localSheetId="1">#REF!</definedName>
    <definedName name="LIM" localSheetId="2">#REF!</definedName>
    <definedName name="LIM">ORCAMENTO!#REF!</definedName>
    <definedName name="morr" localSheetId="2">#REF!</definedName>
    <definedName name="morr">#REF!</definedName>
    <definedName name="MOT" localSheetId="1">#REF!</definedName>
    <definedName name="MOT" localSheetId="2">#REF!</definedName>
    <definedName name="MOT">ORCAMENTO!$I$14</definedName>
    <definedName name="PAR" localSheetId="1">#REF!</definedName>
    <definedName name="PAR" localSheetId="2">#REF!</definedName>
    <definedName name="PAR">ORCAMENTO!#REF!</definedName>
    <definedName name="PAV" localSheetId="1">#REF!</definedName>
    <definedName name="PAV" localSheetId="2">#REF!</definedName>
    <definedName name="PAV">ORCAMENTO!#REF!</definedName>
    <definedName name="PIN" localSheetId="1">#REF!</definedName>
    <definedName name="PIN" localSheetId="2">#REF!</definedName>
    <definedName name="PIN">ORCAMENTO!#REF!</definedName>
    <definedName name="PRE" localSheetId="1">#REF!</definedName>
    <definedName name="PRE" localSheetId="2">#REF!</definedName>
    <definedName name="PRE">ORCAMENTO!$I$5</definedName>
    <definedName name="prre" localSheetId="2">#REF!</definedName>
    <definedName name="prre">#REF!</definedName>
    <definedName name="QAFSUB" localSheetId="1">[1]MatInstal!#REF!</definedName>
    <definedName name="QAFSUB" localSheetId="2">[1]MatInstal!#REF!</definedName>
    <definedName name="QAFSUB">[1]MatInstal!#REF!</definedName>
    <definedName name="REV" localSheetId="1">#REF!</definedName>
    <definedName name="REV" localSheetId="2">#REF!</definedName>
    <definedName name="REV">ORCAMENTO!#REF!</definedName>
    <definedName name="SER" localSheetId="1">#REF!</definedName>
    <definedName name="SER" localSheetId="2">#REF!</definedName>
    <definedName name="SER">ORCAMENTO!#REF!</definedName>
    <definedName name="sss" localSheetId="1">#REF!</definedName>
    <definedName name="sss" localSheetId="2">#REF!</definedName>
    <definedName name="sss">ORCAMENTO!#REF!</definedName>
    <definedName name="subAF1" localSheetId="1">[1]MatInstal!#REF!,[1]MatInstal!#REF!,[1]MatInstal!#REF!,[1]MatInstal!#REF!,[1]MatInstal!#REF!,[1]MatInstal!#REF!</definedName>
    <definedName name="subAF1" localSheetId="2">[1]MatInstal!#REF!,[1]MatInstal!#REF!,[1]MatInstal!#REF!,[1]MatInstal!#REF!,[1]MatInstal!#REF!,[1]MatInstal!#REF!</definedName>
    <definedName name="subAF1">[1]MatInstal!#REF!,[1]MatInstal!#REF!,[1]MatInstal!#REF!,[1]MatInstal!#REF!,[1]MatInstal!#REF!,[1]MatInstal!#REF!</definedName>
    <definedName name="subAF2" localSheetId="1">[1]MatInstal!#REF!,[1]MatInstal!#REF!,[1]MatInstal!#REF!,[1]MatInstal!#REF!,[1]MatInstal!#REF!,[1]MatInstal!#REF!,[1]MatInstal!#REF!,[1]MatInstal!#REF!</definedName>
    <definedName name="subAF2" localSheetId="2">[1]MatInstal!#REF!,[1]MatInstal!#REF!,[1]MatInstal!#REF!,[1]MatInstal!#REF!,[1]MatInstal!#REF!,[1]MatInstal!#REF!,[1]MatInstal!#REF!,[1]MatInstal!#REF!</definedName>
    <definedName name="subAF2">[1]MatInstal!#REF!,[1]MatInstal!#REF!,[1]MatInstal!#REF!,[1]MatInstal!#REF!,[1]MatInstal!#REF!,[1]MatInstal!#REF!,[1]MatInstal!#REF!,[1]MatInstal!#REF!</definedName>
    <definedName name="subsolo">[2]HidroSanitário!$B$5:$B$18,[2]HidroSanitário!$B$22:$B$38,[2]HidroSanitário!$B$42:$B$46,[2]HidroSanitário!$B$50:$B$51</definedName>
    <definedName name="subsolo1">[2]HidroSanitário!$C$5:$C$18,[2]HidroSanitário!$C$22:$C$38,[2]HidroSanitário!$C$42:$C$46,[2]HidroSanitário!$C$50:$C$51</definedName>
    <definedName name="subsolo2">[2]HidroSanitário!$B$3:$B$54</definedName>
    <definedName name="subsolo3">[2]HidroSanitário!$C$3:$C$51</definedName>
    <definedName name="terreo">[2]HidroSanitário!$B$59:$B$149</definedName>
    <definedName name="terreo1">[2]HidroSanitário!$C$59:$C$149</definedName>
    <definedName name="tipo1">[2]HidroSanitário!$B$154:$B$242</definedName>
    <definedName name="tipo2">[2]HidroSanitário!$C$154:$C$240</definedName>
    <definedName name="tipo23453">[2]HidroSanitário!$B$247:$B$342</definedName>
    <definedName name="tipo23454">[2]HidroSanitário!$H$247:$H$341</definedName>
    <definedName name="tipo6">[2]HidroSanitário!$B$349:$B$444</definedName>
    <definedName name="tipo61">[2]HidroSanitário!$C$349:$C$444</definedName>
    <definedName name="_xlnm.Print_Titles" localSheetId="0">ORCAMENTO!$1:$4</definedName>
    <definedName name="unitAF" localSheetId="1">[1]MatInstal!#REF!</definedName>
    <definedName name="unitAF" localSheetId="2">[1]MatInstal!#REF!</definedName>
    <definedName name="unitAF">[1]MatInstal!#REF!</definedName>
    <definedName name="unitAF1" localSheetId="1">[1]MatInstal!#REF!,[1]MatInstal!#REF!,[1]MatInstal!#REF!,[1]MatInstal!#REF!,[1]MatInstal!#REF!,[1]MatInstal!#REF!,[1]MatInstal!#REF!,[1]MatInstal!#REF!</definedName>
    <definedName name="unitAF1" localSheetId="2">[1]MatInstal!#REF!,[1]MatInstal!#REF!,[1]MatInstal!#REF!,[1]MatInstal!#REF!,[1]MatInstal!#REF!,[1]MatInstal!#REF!,[1]MatInstal!#REF!,[1]MatInstal!#REF!</definedName>
    <definedName name="unitAF1">[1]MatInstal!#REF!,[1]MatInstal!#REF!,[1]MatInstal!#REF!,[1]MatInstal!#REF!,[1]MatInstal!#REF!,[1]MatInstal!#REF!,[1]MatInstal!#REF!,[1]MatInstal!#REF!</definedName>
    <definedName name="VID" localSheetId="1">#REF!</definedName>
    <definedName name="VID" localSheetId="2">#REF!</definedName>
    <definedName name="VID">ORCAMENTO!#REF!</definedName>
  </definedNames>
  <calcPr calcId="152511"/>
</workbook>
</file>

<file path=xl/calcChain.xml><?xml version="1.0" encoding="utf-8"?>
<calcChain xmlns="http://schemas.openxmlformats.org/spreadsheetml/2006/main">
  <c r="D25" i="69" l="1"/>
  <c r="V25" i="69" s="1"/>
  <c r="K8" i="69"/>
  <c r="D6" i="69"/>
  <c r="D13" i="69"/>
  <c r="D23" i="69"/>
  <c r="D22" i="69"/>
  <c r="D21" i="69"/>
  <c r="D17" i="69"/>
  <c r="D16" i="69"/>
  <c r="D15" i="69"/>
  <c r="D14" i="69"/>
  <c r="D12" i="69"/>
  <c r="D11" i="69"/>
  <c r="D10" i="69"/>
  <c r="D9" i="69"/>
  <c r="D8" i="69"/>
  <c r="D5" i="69"/>
  <c r="D26" i="69" s="1"/>
  <c r="U17" i="69" l="1"/>
  <c r="E8" i="69"/>
  <c r="W8" i="69" s="1"/>
  <c r="T22" i="69"/>
  <c r="F39" i="69"/>
  <c r="V21" i="69"/>
  <c r="K25" i="69"/>
  <c r="V24" i="69"/>
  <c r="K24" i="69"/>
  <c r="J24" i="69"/>
  <c r="K23" i="69"/>
  <c r="V22" i="69"/>
  <c r="U22" i="69"/>
  <c r="K22" i="69"/>
  <c r="J22" i="69"/>
  <c r="I22" i="69"/>
  <c r="H22" i="69"/>
  <c r="S21" i="69"/>
  <c r="K21" i="69"/>
  <c r="J21" i="69"/>
  <c r="I21" i="69"/>
  <c r="H21" i="69"/>
  <c r="V20" i="69"/>
  <c r="K20" i="69"/>
  <c r="J20" i="69"/>
  <c r="T19" i="69"/>
  <c r="K19" i="69"/>
  <c r="J19" i="69"/>
  <c r="K18" i="69"/>
  <c r="J18" i="69"/>
  <c r="V16" i="69"/>
  <c r="K16" i="69"/>
  <c r="T15" i="69"/>
  <c r="J15" i="69"/>
  <c r="I15" i="69"/>
  <c r="S14" i="69"/>
  <c r="I14" i="69"/>
  <c r="H14" i="69"/>
  <c r="R13" i="69"/>
  <c r="O13" i="69"/>
  <c r="I13" i="69"/>
  <c r="H13" i="69"/>
  <c r="R12" i="69"/>
  <c r="O12" i="69"/>
  <c r="H12" i="69"/>
  <c r="G12" i="69"/>
  <c r="S11" i="69"/>
  <c r="H11" i="69"/>
  <c r="O10" i="69"/>
  <c r="G10" i="69"/>
  <c r="F10" i="69"/>
  <c r="M9" i="69"/>
  <c r="F9" i="69"/>
  <c r="E9" i="69"/>
  <c r="P7" i="69"/>
  <c r="E7" i="69"/>
  <c r="V6" i="69"/>
  <c r="U6" i="69"/>
  <c r="T6" i="69"/>
  <c r="S6" i="69"/>
  <c r="R6" i="69"/>
  <c r="Q6" i="69"/>
  <c r="P6" i="69"/>
  <c r="O6" i="69"/>
  <c r="N6" i="69"/>
  <c r="M6" i="69"/>
  <c r="L6" i="69"/>
  <c r="K6" i="69"/>
  <c r="J6" i="69"/>
  <c r="I6" i="69"/>
  <c r="H6" i="69"/>
  <c r="G6" i="69"/>
  <c r="F6" i="69"/>
  <c r="E6" i="69"/>
  <c r="V5" i="69"/>
  <c r="U5" i="69"/>
  <c r="T5" i="69"/>
  <c r="S5" i="69"/>
  <c r="R5" i="69"/>
  <c r="Q5" i="69"/>
  <c r="P5" i="69"/>
  <c r="O5" i="69"/>
  <c r="N5" i="69"/>
  <c r="M5" i="69"/>
  <c r="L5" i="69"/>
  <c r="K5" i="69"/>
  <c r="J5" i="69"/>
  <c r="I5" i="69"/>
  <c r="H5" i="69"/>
  <c r="G5" i="69"/>
  <c r="F5" i="69"/>
  <c r="E5" i="69"/>
  <c r="C5" i="69"/>
  <c r="C4" i="69"/>
  <c r="K17" i="69" l="1"/>
  <c r="J17" i="69"/>
  <c r="I29" i="69"/>
  <c r="I31" i="69" s="1"/>
  <c r="J16" i="69"/>
  <c r="O29" i="69"/>
  <c r="O31" i="69" s="1"/>
  <c r="G29" i="69"/>
  <c r="G31" i="69" s="1"/>
  <c r="H29" i="69"/>
  <c r="H31" i="69" s="1"/>
  <c r="F29" i="69"/>
  <c r="F31" i="69" s="1"/>
  <c r="W5" i="69"/>
  <c r="W6" i="69"/>
  <c r="K9" i="69"/>
  <c r="M10" i="69"/>
  <c r="P11" i="69"/>
  <c r="P12" i="69"/>
  <c r="P13" i="69"/>
  <c r="Q14" i="69"/>
  <c r="R15" i="69"/>
  <c r="T16" i="69"/>
  <c r="V17" i="69"/>
  <c r="T20" i="69"/>
  <c r="Q21" i="69"/>
  <c r="T24" i="69"/>
  <c r="E29" i="69"/>
  <c r="K7" i="69"/>
  <c r="W7" i="69" s="1"/>
  <c r="L9" i="69"/>
  <c r="L29" i="69" s="1"/>
  <c r="N10" i="69"/>
  <c r="Q11" i="69"/>
  <c r="Q12" i="69"/>
  <c r="Q13" i="69"/>
  <c r="R14" i="69"/>
  <c r="S15" i="69"/>
  <c r="U16" i="69"/>
  <c r="U20" i="69"/>
  <c r="R21" i="69"/>
  <c r="U24" i="69"/>
  <c r="P9" i="69"/>
  <c r="P10" i="69"/>
  <c r="S12" i="69"/>
  <c r="S13" i="69"/>
  <c r="T14" i="69"/>
  <c r="U15" i="69"/>
  <c r="U19" i="69"/>
  <c r="T21" i="69"/>
  <c r="Q22" i="69"/>
  <c r="U23" i="69"/>
  <c r="E39" i="69"/>
  <c r="Q9" i="69"/>
  <c r="Q10" i="69"/>
  <c r="T13" i="69"/>
  <c r="U14" i="69"/>
  <c r="V15" i="69"/>
  <c r="T18" i="69"/>
  <c r="V19" i="69"/>
  <c r="U21" i="69"/>
  <c r="R22" i="69"/>
  <c r="V23" i="69"/>
  <c r="R10" i="69"/>
  <c r="U18" i="69"/>
  <c r="S22" i="69"/>
  <c r="W25" i="69"/>
  <c r="G39" i="69"/>
  <c r="N12" i="69"/>
  <c r="T17" i="69"/>
  <c r="V18" i="69"/>
  <c r="V29" i="69" l="1"/>
  <c r="W24" i="69"/>
  <c r="W11" i="69"/>
  <c r="W20" i="69"/>
  <c r="J29" i="69"/>
  <c r="J31" i="69" s="1"/>
  <c r="W13" i="69"/>
  <c r="W23" i="69"/>
  <c r="W21" i="69"/>
  <c r="W18" i="69"/>
  <c r="W10" i="69"/>
  <c r="W16" i="69"/>
  <c r="W22" i="69"/>
  <c r="R29" i="69"/>
  <c r="R31" i="69" s="1"/>
  <c r="V31" i="69"/>
  <c r="W19" i="69"/>
  <c r="U29" i="69"/>
  <c r="U31" i="69" s="1"/>
  <c r="W14" i="69"/>
  <c r="W15" i="69"/>
  <c r="S29" i="69"/>
  <c r="S31" i="69" s="1"/>
  <c r="P29" i="69"/>
  <c r="P31" i="69" s="1"/>
  <c r="N29" i="69"/>
  <c r="N31" i="69" s="1"/>
  <c r="W12" i="69"/>
  <c r="Q29" i="69"/>
  <c r="Q31" i="69" s="1"/>
  <c r="W9" i="69"/>
  <c r="W17" i="69"/>
  <c r="E32" i="69"/>
  <c r="F32" i="69" s="1"/>
  <c r="G32" i="69" s="1"/>
  <c r="H32" i="69" s="1"/>
  <c r="I32" i="69" s="1"/>
  <c r="E31" i="69"/>
  <c r="E33" i="69" s="1"/>
  <c r="F33" i="69" s="1"/>
  <c r="G33" i="69" s="1"/>
  <c r="H33" i="69" s="1"/>
  <c r="I33" i="69" s="1"/>
  <c r="K29" i="69"/>
  <c r="L31" i="69"/>
  <c r="M29" i="69"/>
  <c r="E40" i="69"/>
  <c r="T29" i="69"/>
  <c r="K8" i="68"/>
  <c r="W8" i="68" s="1"/>
  <c r="V6" i="68"/>
  <c r="U6" i="68"/>
  <c r="T6" i="68"/>
  <c r="S6" i="68"/>
  <c r="R6" i="68"/>
  <c r="Q6" i="68"/>
  <c r="P6" i="68"/>
  <c r="O6" i="68"/>
  <c r="N6" i="68"/>
  <c r="M6" i="68"/>
  <c r="L6" i="68"/>
  <c r="K6" i="68"/>
  <c r="J6" i="68"/>
  <c r="I6" i="68"/>
  <c r="H6" i="68"/>
  <c r="G6" i="68"/>
  <c r="F6" i="68"/>
  <c r="E6" i="68"/>
  <c r="V5" i="68"/>
  <c r="U5" i="68"/>
  <c r="T5" i="68"/>
  <c r="S5" i="68"/>
  <c r="R5" i="68"/>
  <c r="Q5" i="68"/>
  <c r="P5" i="68"/>
  <c r="O5" i="68"/>
  <c r="N5" i="68"/>
  <c r="M5" i="68"/>
  <c r="L5" i="68"/>
  <c r="K5" i="68"/>
  <c r="J5" i="68"/>
  <c r="I5" i="68"/>
  <c r="H5" i="68"/>
  <c r="G5" i="68"/>
  <c r="F5" i="68"/>
  <c r="E5" i="68"/>
  <c r="D26" i="68"/>
  <c r="C4" i="68"/>
  <c r="C5" i="68"/>
  <c r="G38" i="68"/>
  <c r="G39" i="68" s="1"/>
  <c r="F38" i="68"/>
  <c r="E38" i="68"/>
  <c r="E39" i="68" s="1"/>
  <c r="J33" i="69" l="1"/>
  <c r="I21" i="68"/>
  <c r="F39" i="68"/>
  <c r="E40" i="68" s="1"/>
  <c r="J32" i="69"/>
  <c r="K32" i="69" s="1"/>
  <c r="L32" i="69" s="1"/>
  <c r="M32" i="69" s="1"/>
  <c r="N32" i="69" s="1"/>
  <c r="O32" i="69" s="1"/>
  <c r="P32" i="69" s="1"/>
  <c r="Q32" i="69" s="1"/>
  <c r="R32" i="69" s="1"/>
  <c r="S32" i="69" s="1"/>
  <c r="T32" i="69" s="1"/>
  <c r="U32" i="69" s="1"/>
  <c r="V32" i="69" s="1"/>
  <c r="K31" i="69"/>
  <c r="K33" i="69" s="1"/>
  <c r="L33" i="69" s="1"/>
  <c r="T31" i="69"/>
  <c r="M31" i="69"/>
  <c r="V22" i="68"/>
  <c r="V21" i="68"/>
  <c r="U21" i="68"/>
  <c r="T13" i="68"/>
  <c r="U14" i="68"/>
  <c r="V15" i="68"/>
  <c r="U22" i="68"/>
  <c r="V25" i="68"/>
  <c r="V19" i="68"/>
  <c r="U15" i="68"/>
  <c r="U24" i="68"/>
  <c r="U20" i="68"/>
  <c r="T14" i="68"/>
  <c r="V24" i="68"/>
  <c r="V20" i="68"/>
  <c r="V23" i="68"/>
  <c r="V17" i="68"/>
  <c r="U23" i="68"/>
  <c r="T21" i="68"/>
  <c r="U17" i="68"/>
  <c r="U18" i="68"/>
  <c r="V16" i="68"/>
  <c r="T22" i="68"/>
  <c r="V18" i="68"/>
  <c r="U19" i="68"/>
  <c r="U16" i="68"/>
  <c r="S13" i="68"/>
  <c r="S11" i="68"/>
  <c r="S12" i="68"/>
  <c r="R12" i="68"/>
  <c r="W6" i="68"/>
  <c r="H12" i="68"/>
  <c r="K16" i="68"/>
  <c r="J20" i="68"/>
  <c r="W5" i="68"/>
  <c r="J21" i="68"/>
  <c r="P9" i="68"/>
  <c r="P7" i="68"/>
  <c r="R10" i="68"/>
  <c r="Q10" i="68"/>
  <c r="Q9" i="68"/>
  <c r="K23" i="68"/>
  <c r="I13" i="68"/>
  <c r="G10" i="68"/>
  <c r="J15" i="68"/>
  <c r="J18" i="68"/>
  <c r="H21" i="68"/>
  <c r="G12" i="68"/>
  <c r="J16" i="68"/>
  <c r="K20" i="68"/>
  <c r="E7" i="68"/>
  <c r="H11" i="68"/>
  <c r="H13" i="68"/>
  <c r="K21" i="68"/>
  <c r="J17" i="68"/>
  <c r="K22" i="68"/>
  <c r="H14" i="68"/>
  <c r="J22" i="68"/>
  <c r="F9" i="68"/>
  <c r="I14" i="68"/>
  <c r="J19" i="68"/>
  <c r="K25" i="68"/>
  <c r="I22" i="68"/>
  <c r="K17" i="68"/>
  <c r="K7" i="68"/>
  <c r="S22" i="68"/>
  <c r="T15" i="68"/>
  <c r="Q13" i="68"/>
  <c r="M9" i="68"/>
  <c r="T18" i="68"/>
  <c r="S15" i="68"/>
  <c r="P13" i="68"/>
  <c r="L9" i="68"/>
  <c r="Q11" i="68"/>
  <c r="R15" i="68"/>
  <c r="O13" i="68"/>
  <c r="K9" i="68"/>
  <c r="T24" i="68"/>
  <c r="S21" i="68"/>
  <c r="P11" i="68"/>
  <c r="Q14" i="68"/>
  <c r="Q12" i="68"/>
  <c r="R21" i="68"/>
  <c r="T19" i="68"/>
  <c r="R14" i="68"/>
  <c r="P12" i="68"/>
  <c r="P10" i="68"/>
  <c r="Q21" i="68"/>
  <c r="S14" i="68"/>
  <c r="O12" i="68"/>
  <c r="O10" i="68"/>
  <c r="Q22" i="68"/>
  <c r="T17" i="68"/>
  <c r="T16" i="68"/>
  <c r="N12" i="68"/>
  <c r="N10" i="68"/>
  <c r="R22" i="68"/>
  <c r="T20" i="68"/>
  <c r="R13" i="68"/>
  <c r="M10" i="68"/>
  <c r="J24" i="68"/>
  <c r="E9" i="68"/>
  <c r="K19" i="68"/>
  <c r="K24" i="68"/>
  <c r="F10" i="68"/>
  <c r="I15" i="68"/>
  <c r="K18" i="68"/>
  <c r="H22" i="68"/>
  <c r="L29" i="68"/>
  <c r="L31" i="68" s="1"/>
  <c r="W9" i="68" l="1"/>
  <c r="N29" i="68"/>
  <c r="N31" i="68" s="1"/>
  <c r="M33" i="69"/>
  <c r="N33" i="69" s="1"/>
  <c r="O33" i="69" s="1"/>
  <c r="P33" i="69" s="1"/>
  <c r="Q33" i="69" s="1"/>
  <c r="R33" i="69" s="1"/>
  <c r="S33" i="69" s="1"/>
  <c r="T33" i="69" s="1"/>
  <c r="U33" i="69" s="1"/>
  <c r="V33" i="69" s="1"/>
  <c r="S29" i="68"/>
  <c r="S31" i="68" s="1"/>
  <c r="R29" i="68"/>
  <c r="R31" i="68" s="1"/>
  <c r="U29" i="68"/>
  <c r="U31" i="68" s="1"/>
  <c r="W25" i="68"/>
  <c r="W22" i="68"/>
  <c r="M29" i="68"/>
  <c r="M31" i="68" s="1"/>
  <c r="O29" i="68"/>
  <c r="O31" i="68" s="1"/>
  <c r="W15" i="68"/>
  <c r="K29" i="68"/>
  <c r="K31" i="68" s="1"/>
  <c r="W16" i="68"/>
  <c r="Q29" i="68"/>
  <c r="Q31" i="68" s="1"/>
  <c r="W18" i="68"/>
  <c r="W10" i="68"/>
  <c r="W19" i="68"/>
  <c r="W12" i="68"/>
  <c r="W21" i="68"/>
  <c r="J29" i="68"/>
  <c r="J31" i="68" s="1"/>
  <c r="W14" i="68"/>
  <c r="W17" i="68"/>
  <c r="T29" i="68"/>
  <c r="T31" i="68" s="1"/>
  <c r="V29" i="68"/>
  <c r="V31" i="68" s="1"/>
  <c r="H29" i="68"/>
  <c r="H31" i="68" s="1"/>
  <c r="W11" i="68"/>
  <c r="G29" i="68"/>
  <c r="G31" i="68" s="1"/>
  <c r="P29" i="68"/>
  <c r="P31" i="68" s="1"/>
  <c r="F29" i="68"/>
  <c r="F31" i="68" s="1"/>
  <c r="E29" i="68"/>
  <c r="E31" i="68" s="1"/>
  <c r="E33" i="68" s="1"/>
  <c r="F33" i="68" s="1"/>
  <c r="W7" i="68"/>
  <c r="I29" i="68"/>
  <c r="I31" i="68" s="1"/>
  <c r="W13" i="68"/>
  <c r="W23" i="68"/>
  <c r="W20" i="68"/>
  <c r="W24" i="68"/>
  <c r="G33" i="68" l="1"/>
  <c r="H33" i="68"/>
  <c r="I33" i="68" s="1"/>
  <c r="J33" i="68" s="1"/>
  <c r="K33" i="68" s="1"/>
  <c r="L33" i="68" s="1"/>
  <c r="M33" i="68" s="1"/>
  <c r="N33" i="68" s="1"/>
  <c r="O33" i="68" s="1"/>
  <c r="P33" i="68" s="1"/>
  <c r="Q33" i="68" s="1"/>
  <c r="R33" i="68" s="1"/>
  <c r="S33" i="68" s="1"/>
  <c r="T33" i="68" s="1"/>
  <c r="U33" i="68" s="1"/>
  <c r="V33" i="68" s="1"/>
  <c r="E32" i="68"/>
  <c r="F32" i="68" s="1"/>
  <c r="G32" i="68" s="1"/>
  <c r="H32" i="68" s="1"/>
  <c r="I32" i="68" s="1"/>
  <c r="J32" i="68" s="1"/>
  <c r="K32" i="68" s="1"/>
  <c r="L32" i="68" s="1"/>
  <c r="M32" i="68" s="1"/>
  <c r="N32" i="68" s="1"/>
  <c r="O32" i="68" s="1"/>
  <c r="P32" i="68" s="1"/>
  <c r="Q32" i="68" s="1"/>
  <c r="R32" i="68" s="1"/>
  <c r="S32" i="68" s="1"/>
  <c r="T32" i="68" s="1"/>
  <c r="U32" i="68" s="1"/>
  <c r="V32" i="68" s="1"/>
  <c r="K5" i="1" l="1"/>
  <c r="I6" i="1"/>
  <c r="I7" i="1"/>
  <c r="I8" i="1"/>
  <c r="I9" i="1"/>
  <c r="I10" i="1"/>
  <c r="I11" i="1"/>
  <c r="I12" i="1"/>
  <c r="I13" i="1"/>
  <c r="I15" i="1"/>
  <c r="I16" i="1"/>
  <c r="I17" i="1"/>
  <c r="I18" i="1"/>
  <c r="K19" i="1"/>
  <c r="K20" i="1"/>
  <c r="I21" i="1"/>
  <c r="I22" i="1"/>
  <c r="I23" i="1"/>
  <c r="I24" i="1"/>
  <c r="K25" i="1"/>
  <c r="I26" i="1"/>
  <c r="I27" i="1"/>
  <c r="I28" i="1"/>
  <c r="I29" i="1"/>
  <c r="I30" i="1"/>
  <c r="I32" i="1"/>
  <c r="I33" i="1"/>
  <c r="I34" i="1"/>
  <c r="I35" i="1"/>
  <c r="I36" i="1"/>
  <c r="I37" i="1"/>
  <c r="I38" i="1"/>
  <c r="I39" i="1"/>
  <c r="I41" i="1"/>
  <c r="I42" i="1"/>
  <c r="K43" i="1"/>
  <c r="K44" i="1"/>
  <c r="I45" i="1"/>
  <c r="I46" i="1"/>
  <c r="I47" i="1"/>
  <c r="G48" i="1"/>
  <c r="F48" i="1" s="1"/>
  <c r="K48" i="1"/>
  <c r="F49" i="1"/>
  <c r="I49" i="1"/>
  <c r="F50" i="1"/>
  <c r="I50" i="1"/>
  <c r="F52" i="1"/>
  <c r="I52" i="1"/>
  <c r="I53" i="1"/>
  <c r="I54" i="1"/>
  <c r="I55" i="1"/>
  <c r="I56" i="1"/>
  <c r="F57" i="1"/>
  <c r="I57" i="1"/>
  <c r="I58" i="1"/>
  <c r="K59" i="1"/>
  <c r="K60" i="1"/>
  <c r="I61" i="1"/>
  <c r="I62" i="1"/>
  <c r="I63" i="1"/>
  <c r="I64" i="1"/>
  <c r="I65" i="1"/>
  <c r="I66" i="1"/>
  <c r="K67" i="1"/>
  <c r="I68" i="1"/>
  <c r="I69" i="1"/>
  <c r="I70" i="1"/>
  <c r="I71" i="1"/>
  <c r="K72" i="1"/>
  <c r="I73" i="1"/>
  <c r="I74" i="1"/>
  <c r="I75" i="1"/>
  <c r="I76" i="1"/>
  <c r="I77" i="1"/>
  <c r="K78" i="1"/>
  <c r="K79" i="1"/>
  <c r="I80" i="1"/>
  <c r="I81" i="1"/>
  <c r="I82" i="1"/>
  <c r="I83" i="1"/>
  <c r="I84" i="1"/>
  <c r="K85" i="1"/>
  <c r="I86" i="1"/>
  <c r="I87" i="1"/>
  <c r="I88" i="1"/>
  <c r="G89" i="1"/>
  <c r="F89" i="1" s="1"/>
  <c r="K89" i="1"/>
  <c r="F90" i="1"/>
  <c r="I90" i="1"/>
  <c r="I89" i="1" s="1"/>
  <c r="K90" i="1" s="1"/>
  <c r="L90" i="1" s="1"/>
  <c r="K91" i="1"/>
  <c r="I92" i="1"/>
  <c r="I93" i="1"/>
  <c r="K94" i="1"/>
  <c r="I95" i="1"/>
  <c r="I96" i="1"/>
  <c r="I97" i="1"/>
  <c r="I98" i="1"/>
  <c r="I99" i="1"/>
  <c r="I100" i="1"/>
  <c r="I101" i="1"/>
  <c r="K102" i="1"/>
  <c r="I103" i="1"/>
  <c r="I104" i="1"/>
  <c r="I105" i="1"/>
  <c r="I106" i="1"/>
  <c r="I107" i="1"/>
  <c r="I109" i="1"/>
  <c r="K110" i="1"/>
  <c r="I111" i="1"/>
  <c r="I112" i="1"/>
  <c r="I113" i="1"/>
  <c r="I114" i="1"/>
  <c r="I115" i="1"/>
  <c r="I116" i="1"/>
  <c r="K117" i="1"/>
  <c r="I118" i="1"/>
  <c r="I119" i="1"/>
  <c r="I120" i="1"/>
  <c r="I121" i="1"/>
  <c r="K122" i="1"/>
  <c r="K123" i="1"/>
  <c r="I124" i="1"/>
  <c r="I125" i="1"/>
  <c r="I126" i="1"/>
  <c r="I127" i="1"/>
  <c r="K128" i="1"/>
  <c r="I129" i="1"/>
  <c r="I130" i="1"/>
  <c r="I131" i="1"/>
  <c r="I132" i="1"/>
  <c r="I133" i="1"/>
  <c r="I134" i="1"/>
  <c r="I135" i="1"/>
  <c r="I136" i="1"/>
  <c r="I137" i="1"/>
  <c r="I138" i="1"/>
  <c r="I139" i="1"/>
  <c r="K140" i="1"/>
  <c r="I141" i="1"/>
  <c r="I142" i="1"/>
  <c r="I143" i="1"/>
  <c r="I144" i="1"/>
  <c r="I145" i="1"/>
  <c r="I146" i="1"/>
  <c r="I147" i="1"/>
  <c r="I148" i="1"/>
  <c r="I149" i="1"/>
  <c r="I150" i="1"/>
  <c r="I152" i="1"/>
  <c r="I153" i="1"/>
  <c r="I154" i="1"/>
  <c r="K155" i="1"/>
  <c r="I156" i="1"/>
  <c r="I157" i="1"/>
  <c r="I158" i="1"/>
  <c r="K159" i="1"/>
  <c r="I160" i="1"/>
  <c r="I161" i="1"/>
  <c r="I162" i="1"/>
  <c r="I163" i="1"/>
  <c r="I164" i="1"/>
  <c r="I165" i="1"/>
  <c r="G166" i="1"/>
  <c r="F166" i="1" s="1"/>
  <c r="K166" i="1"/>
  <c r="F167" i="1"/>
  <c r="I167" i="1"/>
  <c r="F168" i="1"/>
  <c r="I168" i="1"/>
  <c r="F169" i="1"/>
  <c r="I169" i="1"/>
  <c r="F170" i="1"/>
  <c r="I170" i="1"/>
  <c r="F171" i="1"/>
  <c r="I171" i="1"/>
  <c r="K172" i="1"/>
  <c r="I173" i="1"/>
  <c r="F174" i="1"/>
  <c r="I174" i="1"/>
  <c r="F175" i="1"/>
  <c r="I175" i="1"/>
  <c r="I176" i="1"/>
  <c r="I177" i="1"/>
  <c r="F178" i="1"/>
  <c r="I178" i="1"/>
  <c r="I179" i="1"/>
  <c r="I180" i="1"/>
  <c r="K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20" i="1"/>
  <c r="I221" i="1"/>
  <c r="K222" i="1"/>
  <c r="K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K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K299" i="1"/>
  <c r="I300" i="1"/>
  <c r="I301" i="1"/>
  <c r="I302" i="1"/>
  <c r="I303" i="1"/>
  <c r="K304" i="1"/>
  <c r="K305" i="1"/>
  <c r="I306" i="1"/>
  <c r="I307" i="1"/>
  <c r="I308" i="1"/>
  <c r="K309" i="1"/>
  <c r="I310" i="1"/>
  <c r="I311" i="1"/>
  <c r="I312" i="1"/>
  <c r="K313" i="1"/>
  <c r="I314" i="1"/>
  <c r="I315" i="1"/>
  <c r="I316" i="1"/>
  <c r="K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K342" i="1"/>
  <c r="I343" i="1"/>
  <c r="I344" i="1"/>
  <c r="I345" i="1"/>
  <c r="I346" i="1"/>
  <c r="I347" i="1"/>
  <c r="I348" i="1"/>
  <c r="K349" i="1"/>
  <c r="F350" i="1"/>
  <c r="I350" i="1"/>
  <c r="I351" i="1"/>
  <c r="I352" i="1"/>
  <c r="F353" i="1"/>
  <c r="I353" i="1"/>
  <c r="I354" i="1"/>
  <c r="I355" i="1"/>
  <c r="I356" i="1"/>
  <c r="F357" i="1"/>
  <c r="I357" i="1"/>
  <c r="F358" i="1"/>
  <c r="I358" i="1"/>
  <c r="F359" i="1"/>
  <c r="I359" i="1"/>
  <c r="F360" i="1"/>
  <c r="I360" i="1"/>
  <c r="F361" i="1"/>
  <c r="I361" i="1"/>
  <c r="F362" i="1"/>
  <c r="I362" i="1"/>
  <c r="F363" i="1"/>
  <c r="I363" i="1"/>
  <c r="F364" i="1"/>
  <c r="I364" i="1"/>
  <c r="F365" i="1"/>
  <c r="I365" i="1"/>
  <c r="F366" i="1"/>
  <c r="I366" i="1"/>
  <c r="F367" i="1"/>
  <c r="I367" i="1"/>
  <c r="F368" i="1"/>
  <c r="I368" i="1"/>
  <c r="F369" i="1"/>
  <c r="I369" i="1"/>
  <c r="F370" i="1"/>
  <c r="I370" i="1"/>
  <c r="F371" i="1"/>
  <c r="I371" i="1"/>
  <c r="F372" i="1"/>
  <c r="I372" i="1"/>
  <c r="F373" i="1"/>
  <c r="I373" i="1"/>
  <c r="F374" i="1"/>
  <c r="I374" i="1"/>
  <c r="F375" i="1"/>
  <c r="I375" i="1"/>
  <c r="F376" i="1"/>
  <c r="I376" i="1"/>
  <c r="F377" i="1"/>
  <c r="I377" i="1"/>
  <c r="F378" i="1"/>
  <c r="I378" i="1"/>
  <c r="F379" i="1"/>
  <c r="I379" i="1"/>
  <c r="F380" i="1"/>
  <c r="I380" i="1"/>
  <c r="F381" i="1"/>
  <c r="I381" i="1"/>
  <c r="F382" i="1"/>
  <c r="I382" i="1"/>
  <c r="F383" i="1"/>
  <c r="I383" i="1"/>
  <c r="F384" i="1"/>
  <c r="I384" i="1"/>
  <c r="F385" i="1"/>
  <c r="I385" i="1"/>
  <c r="F386" i="1"/>
  <c r="I386" i="1"/>
  <c r="F387" i="1"/>
  <c r="I387" i="1"/>
  <c r="I388" i="1"/>
  <c r="I389" i="1"/>
  <c r="I390" i="1"/>
  <c r="K391" i="1"/>
  <c r="I392" i="1"/>
  <c r="I393" i="1"/>
  <c r="I394" i="1"/>
  <c r="I395" i="1"/>
  <c r="I396" i="1"/>
  <c r="I397" i="1"/>
  <c r="I398" i="1"/>
  <c r="I399" i="1"/>
  <c r="I400" i="1"/>
  <c r="I401" i="1"/>
  <c r="I402" i="1"/>
  <c r="K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K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F445" i="1"/>
  <c r="I445" i="1"/>
  <c r="K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K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K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K510" i="1"/>
  <c r="I511" i="1"/>
  <c r="I512" i="1"/>
  <c r="C527" i="1"/>
  <c r="I40" i="1" l="1"/>
  <c r="K41" i="1" s="1"/>
  <c r="L41" i="1" s="1"/>
  <c r="I110" i="1"/>
  <c r="I72" i="1"/>
  <c r="I25" i="1"/>
  <c r="I94" i="1"/>
  <c r="K97" i="1" s="1"/>
  <c r="I31" i="1"/>
  <c r="I166" i="1"/>
  <c r="K171" i="1" s="1"/>
  <c r="I313" i="1"/>
  <c r="K314" i="1" s="1"/>
  <c r="L314" i="1" s="1"/>
  <c r="K95" i="1"/>
  <c r="L95" i="1" s="1"/>
  <c r="I44" i="1"/>
  <c r="K46" i="1" s="1"/>
  <c r="I424" i="1"/>
  <c r="K428" i="1" s="1"/>
  <c r="I60" i="1"/>
  <c r="K61" i="1" s="1"/>
  <c r="L61" i="1" s="1"/>
  <c r="K34" i="1"/>
  <c r="K33" i="1"/>
  <c r="K316" i="1"/>
  <c r="I305" i="1"/>
  <c r="K306" i="1" s="1"/>
  <c r="L306" i="1" s="1"/>
  <c r="I159" i="1"/>
  <c r="K165" i="1" s="1"/>
  <c r="I102" i="1"/>
  <c r="K105" i="1" s="1"/>
  <c r="I67" i="1"/>
  <c r="K70" i="1" s="1"/>
  <c r="I20" i="1"/>
  <c r="K21" i="1" s="1"/>
  <c r="L21" i="1" s="1"/>
  <c r="I481" i="1"/>
  <c r="K488" i="1" s="1"/>
  <c r="K96" i="1"/>
  <c r="I283" i="1"/>
  <c r="K289" i="1" s="1"/>
  <c r="I155" i="1"/>
  <c r="K158" i="1" s="1"/>
  <c r="I128" i="1"/>
  <c r="K139" i="1" s="1"/>
  <c r="I123" i="1"/>
  <c r="K124" i="1" s="1"/>
  <c r="L124" i="1" s="1"/>
  <c r="K77" i="1"/>
  <c r="I51" i="1"/>
  <c r="K58" i="1" s="1"/>
  <c r="K32" i="1"/>
  <c r="L32" i="1" s="1"/>
  <c r="I14" i="1"/>
  <c r="K15" i="1" s="1"/>
  <c r="L15" i="1" s="1"/>
  <c r="I5" i="1"/>
  <c r="K13" i="1" s="1"/>
  <c r="K168" i="1"/>
  <c r="I510" i="1"/>
  <c r="K511" i="1" s="1"/>
  <c r="L511" i="1" s="1"/>
  <c r="K111" i="1"/>
  <c r="L111" i="1" s="1"/>
  <c r="I79" i="1"/>
  <c r="K83" i="1" s="1"/>
  <c r="K491" i="1"/>
  <c r="K482" i="1"/>
  <c r="L482" i="1" s="1"/>
  <c r="K483" i="1"/>
  <c r="I403" i="1"/>
  <c r="K413" i="1" s="1"/>
  <c r="I299" i="1"/>
  <c r="K301" i="1" s="1"/>
  <c r="K65" i="1"/>
  <c r="I496" i="1"/>
  <c r="K502" i="1" s="1"/>
  <c r="I446" i="1"/>
  <c r="K462" i="1" s="1"/>
  <c r="I391" i="1"/>
  <c r="K397" i="1" s="1"/>
  <c r="K74" i="1"/>
  <c r="K75" i="1"/>
  <c r="K76" i="1"/>
  <c r="K73" i="1"/>
  <c r="L73" i="1" s="1"/>
  <c r="I223" i="1"/>
  <c r="K35" i="1"/>
  <c r="I317" i="1"/>
  <c r="K112" i="1"/>
  <c r="K113" i="1"/>
  <c r="K114" i="1"/>
  <c r="K116" i="1"/>
  <c r="K115" i="1"/>
  <c r="K28" i="1"/>
  <c r="K30" i="1"/>
  <c r="K29" i="1"/>
  <c r="I309" i="1"/>
  <c r="K312" i="1" s="1"/>
  <c r="K39" i="1"/>
  <c r="K36" i="1"/>
  <c r="K37" i="1"/>
  <c r="K38" i="1"/>
  <c r="K493" i="1"/>
  <c r="K485" i="1"/>
  <c r="I349" i="1"/>
  <c r="K357" i="1" s="1"/>
  <c r="I342" i="1"/>
  <c r="I181" i="1"/>
  <c r="K215" i="1" s="1"/>
  <c r="I172" i="1"/>
  <c r="K180" i="1" s="1"/>
  <c r="I117" i="1"/>
  <c r="K120" i="1" s="1"/>
  <c r="K101" i="1"/>
  <c r="I48" i="1"/>
  <c r="K49" i="1" s="1"/>
  <c r="L49" i="1" s="1"/>
  <c r="K302" i="1"/>
  <c r="I140" i="1"/>
  <c r="K150" i="1" s="1"/>
  <c r="K100" i="1"/>
  <c r="I91" i="1"/>
  <c r="I85" i="1"/>
  <c r="K86" i="1" s="1"/>
  <c r="L86" i="1" s="1"/>
  <c r="K42" i="1"/>
  <c r="L42" i="1" s="1"/>
  <c r="K17" i="1"/>
  <c r="K27" i="1"/>
  <c r="K26" i="1"/>
  <c r="L26" i="1" s="1"/>
  <c r="K99" i="1" l="1"/>
  <c r="K98" i="1"/>
  <c r="K420" i="1"/>
  <c r="K170" i="1"/>
  <c r="K167" i="1"/>
  <c r="L167" i="1" s="1"/>
  <c r="L168" i="1" s="1"/>
  <c r="K18" i="1"/>
  <c r="K109" i="1"/>
  <c r="K291" i="1"/>
  <c r="K315" i="1"/>
  <c r="L315" i="1" s="1"/>
  <c r="L316" i="1" s="1"/>
  <c r="K16" i="1"/>
  <c r="L16" i="1" s="1"/>
  <c r="L17" i="1" s="1"/>
  <c r="L18" i="1" s="1"/>
  <c r="K467" i="1"/>
  <c r="K47" i="1"/>
  <c r="K442" i="1"/>
  <c r="K288" i="1"/>
  <c r="K439" i="1"/>
  <c r="K308" i="1"/>
  <c r="K164" i="1"/>
  <c r="L96" i="1"/>
  <c r="L97" i="1" s="1"/>
  <c r="L98" i="1" s="1"/>
  <c r="K426" i="1"/>
  <c r="K307" i="1"/>
  <c r="L307" i="1" s="1"/>
  <c r="K404" i="1"/>
  <c r="L404" i="1" s="1"/>
  <c r="K445" i="1"/>
  <c r="L112" i="1"/>
  <c r="L113" i="1" s="1"/>
  <c r="L114" i="1" s="1"/>
  <c r="L115" i="1" s="1"/>
  <c r="L116" i="1" s="1"/>
  <c r="L483" i="1"/>
  <c r="K160" i="1"/>
  <c r="L160" i="1" s="1"/>
  <c r="K369" i="1"/>
  <c r="K432" i="1"/>
  <c r="K126" i="1"/>
  <c r="L126" i="1" s="1"/>
  <c r="K427" i="1"/>
  <c r="K412" i="1"/>
  <c r="K163" i="1"/>
  <c r="I19" i="1"/>
  <c r="K106" i="1"/>
  <c r="K130" i="1"/>
  <c r="K57" i="1"/>
  <c r="K489" i="1"/>
  <c r="K486" i="1"/>
  <c r="K512" i="1"/>
  <c r="K490" i="1"/>
  <c r="K53" i="1"/>
  <c r="K24" i="1"/>
  <c r="K162" i="1"/>
  <c r="K495" i="1"/>
  <c r="K54" i="1"/>
  <c r="K62" i="1"/>
  <c r="L62" i="1" s="1"/>
  <c r="K63" i="1"/>
  <c r="K494" i="1"/>
  <c r="K64" i="1"/>
  <c r="K492" i="1"/>
  <c r="K161" i="1"/>
  <c r="K444" i="1"/>
  <c r="K487" i="1"/>
  <c r="K169" i="1"/>
  <c r="L169" i="1" s="1"/>
  <c r="L170" i="1" s="1"/>
  <c r="L171" i="1" s="1"/>
  <c r="K22" i="1"/>
  <c r="L22" i="1" s="1"/>
  <c r="K52" i="1"/>
  <c r="L52" i="1" s="1"/>
  <c r="K23" i="1"/>
  <c r="K107" i="1"/>
  <c r="K127" i="1"/>
  <c r="L127" i="1" s="1"/>
  <c r="K484" i="1"/>
  <c r="K66" i="1"/>
  <c r="K69" i="1"/>
  <c r="K132" i="1"/>
  <c r="K433" i="1"/>
  <c r="K429" i="1"/>
  <c r="K425" i="1"/>
  <c r="L425" i="1" s="1"/>
  <c r="K129" i="1"/>
  <c r="L129" i="1" s="1"/>
  <c r="L130" i="1" s="1"/>
  <c r="K434" i="1"/>
  <c r="K293" i="1"/>
  <c r="K438" i="1"/>
  <c r="K12" i="1"/>
  <c r="K81" i="1"/>
  <c r="K311" i="1"/>
  <c r="K87" i="1"/>
  <c r="L87" i="1" s="1"/>
  <c r="K11" i="1"/>
  <c r="K290" i="1"/>
  <c r="K56" i="1"/>
  <c r="K135" i="1"/>
  <c r="K8" i="1"/>
  <c r="K440" i="1"/>
  <c r="K441" i="1"/>
  <c r="K437" i="1"/>
  <c r="K138" i="1"/>
  <c r="K104" i="1"/>
  <c r="K45" i="1"/>
  <c r="L45" i="1" s="1"/>
  <c r="L46" i="1" s="1"/>
  <c r="L47" i="1" s="1"/>
  <c r="K133" i="1"/>
  <c r="K157" i="1"/>
  <c r="K71" i="1"/>
  <c r="K137" i="1"/>
  <c r="K55" i="1"/>
  <c r="K443" i="1"/>
  <c r="K80" i="1"/>
  <c r="L80" i="1" s="1"/>
  <c r="K108" i="1"/>
  <c r="K103" i="1"/>
  <c r="L103" i="1" s="1"/>
  <c r="K68" i="1"/>
  <c r="L68" i="1" s="1"/>
  <c r="K131" i="1"/>
  <c r="K134" i="1"/>
  <c r="L33" i="1"/>
  <c r="L34" i="1" s="1"/>
  <c r="L35" i="1" s="1"/>
  <c r="L36" i="1" s="1"/>
  <c r="L37" i="1" s="1"/>
  <c r="L38" i="1" s="1"/>
  <c r="L39" i="1" s="1"/>
  <c r="K136" i="1"/>
  <c r="K82" i="1"/>
  <c r="K435" i="1"/>
  <c r="K430" i="1"/>
  <c r="K431" i="1"/>
  <c r="K436" i="1"/>
  <c r="I59" i="1"/>
  <c r="K287" i="1"/>
  <c r="K294" i="1"/>
  <c r="K156" i="1"/>
  <c r="L156" i="1" s="1"/>
  <c r="K296" i="1"/>
  <c r="K285" i="1"/>
  <c r="K10" i="1"/>
  <c r="I122" i="1"/>
  <c r="K297" i="1"/>
  <c r="K6" i="1"/>
  <c r="L6" i="1" s="1"/>
  <c r="K407" i="1"/>
  <c r="K7" i="1"/>
  <c r="K292" i="1"/>
  <c r="K415" i="1"/>
  <c r="K9" i="1"/>
  <c r="K84" i="1"/>
  <c r="K125" i="1"/>
  <c r="L125" i="1" s="1"/>
  <c r="K286" i="1"/>
  <c r="K284" i="1"/>
  <c r="L284" i="1" s="1"/>
  <c r="K295" i="1"/>
  <c r="K298" i="1"/>
  <c r="K345" i="1"/>
  <c r="K346" i="1"/>
  <c r="K347" i="1"/>
  <c r="K348" i="1"/>
  <c r="K344" i="1"/>
  <c r="K343" i="1"/>
  <c r="L343" i="1" s="1"/>
  <c r="K359" i="1"/>
  <c r="K367" i="1"/>
  <c r="K375" i="1"/>
  <c r="K383" i="1"/>
  <c r="K353" i="1"/>
  <c r="K352" i="1"/>
  <c r="K354" i="1"/>
  <c r="K362" i="1"/>
  <c r="K370" i="1"/>
  <c r="K378" i="1"/>
  <c r="K386" i="1"/>
  <c r="K358" i="1"/>
  <c r="K390" i="1"/>
  <c r="K371" i="1"/>
  <c r="K388" i="1"/>
  <c r="K374" i="1"/>
  <c r="K355" i="1"/>
  <c r="K363" i="1"/>
  <c r="K379" i="1"/>
  <c r="K387" i="1"/>
  <c r="K372" i="1"/>
  <c r="K350" i="1"/>
  <c r="L350" i="1" s="1"/>
  <c r="K366" i="1"/>
  <c r="K382" i="1"/>
  <c r="K356" i="1"/>
  <c r="K351" i="1"/>
  <c r="K389" i="1"/>
  <c r="K384" i="1"/>
  <c r="K364" i="1"/>
  <c r="K360" i="1"/>
  <c r="K373" i="1"/>
  <c r="K377" i="1"/>
  <c r="K376" i="1"/>
  <c r="K321" i="1"/>
  <c r="K329" i="1"/>
  <c r="K337" i="1"/>
  <c r="K330" i="1"/>
  <c r="K323" i="1"/>
  <c r="K340" i="1"/>
  <c r="K341" i="1"/>
  <c r="K339" i="1"/>
  <c r="K324" i="1"/>
  <c r="K325" i="1"/>
  <c r="K331" i="1"/>
  <c r="K338" i="1"/>
  <c r="K332" i="1"/>
  <c r="K333" i="1"/>
  <c r="K322" i="1"/>
  <c r="K327" i="1"/>
  <c r="K319" i="1"/>
  <c r="K336" i="1"/>
  <c r="K328" i="1"/>
  <c r="K242" i="1"/>
  <c r="K266" i="1"/>
  <c r="K282" i="1"/>
  <c r="K228" i="1"/>
  <c r="K260" i="1"/>
  <c r="K225" i="1"/>
  <c r="K233" i="1"/>
  <c r="K241" i="1"/>
  <c r="K249" i="1"/>
  <c r="K257" i="1"/>
  <c r="K265" i="1"/>
  <c r="K273" i="1"/>
  <c r="K281" i="1"/>
  <c r="K226" i="1"/>
  <c r="K250" i="1"/>
  <c r="K274" i="1"/>
  <c r="K244" i="1"/>
  <c r="K276" i="1"/>
  <c r="K234" i="1"/>
  <c r="K258" i="1"/>
  <c r="K236" i="1"/>
  <c r="K268" i="1"/>
  <c r="K227" i="1"/>
  <c r="K235" i="1"/>
  <c r="K243" i="1"/>
  <c r="K251" i="1"/>
  <c r="K259" i="1"/>
  <c r="K267" i="1"/>
  <c r="K275" i="1"/>
  <c r="K252" i="1"/>
  <c r="K231" i="1"/>
  <c r="K254" i="1"/>
  <c r="K277" i="1"/>
  <c r="K237" i="1"/>
  <c r="K278" i="1"/>
  <c r="K253" i="1"/>
  <c r="K255" i="1"/>
  <c r="K270" i="1"/>
  <c r="K238" i="1"/>
  <c r="K261" i="1"/>
  <c r="K279" i="1"/>
  <c r="K239" i="1"/>
  <c r="K262" i="1"/>
  <c r="K247" i="1"/>
  <c r="K271" i="1"/>
  <c r="K245" i="1"/>
  <c r="K263" i="1"/>
  <c r="I222" i="1"/>
  <c r="K246" i="1"/>
  <c r="K269" i="1"/>
  <c r="K229" i="1"/>
  <c r="K230" i="1"/>
  <c r="K264" i="1"/>
  <c r="K256" i="1"/>
  <c r="K248" i="1"/>
  <c r="K240" i="1"/>
  <c r="K224" i="1"/>
  <c r="L224" i="1" s="1"/>
  <c r="K385" i="1"/>
  <c r="K457" i="1"/>
  <c r="K473" i="1"/>
  <c r="K458" i="1"/>
  <c r="K455" i="1"/>
  <c r="K456" i="1"/>
  <c r="K474" i="1"/>
  <c r="K471" i="1"/>
  <c r="K447" i="1"/>
  <c r="L447" i="1" s="1"/>
  <c r="K463" i="1"/>
  <c r="K479" i="1"/>
  <c r="K448" i="1"/>
  <c r="K464" i="1"/>
  <c r="K480" i="1"/>
  <c r="K449" i="1"/>
  <c r="K465" i="1"/>
  <c r="K450" i="1"/>
  <c r="K466" i="1"/>
  <c r="K472" i="1"/>
  <c r="K451" i="1"/>
  <c r="K454" i="1"/>
  <c r="K469" i="1"/>
  <c r="K452" i="1"/>
  <c r="K461" i="1"/>
  <c r="K468" i="1"/>
  <c r="K453" i="1"/>
  <c r="K470" i="1"/>
  <c r="K476" i="1"/>
  <c r="K475" i="1"/>
  <c r="K365" i="1"/>
  <c r="K478" i="1"/>
  <c r="K318" i="1"/>
  <c r="L318" i="1" s="1"/>
  <c r="K232" i="1"/>
  <c r="K381" i="1"/>
  <c r="K272" i="1"/>
  <c r="K334" i="1"/>
  <c r="K50" i="1"/>
  <c r="L50" i="1" s="1"/>
  <c r="I43" i="1"/>
  <c r="K174" i="1"/>
  <c r="K173" i="1"/>
  <c r="L173" i="1" s="1"/>
  <c r="K177" i="1"/>
  <c r="K179" i="1"/>
  <c r="K175" i="1"/>
  <c r="K280" i="1"/>
  <c r="K368" i="1"/>
  <c r="K145" i="1"/>
  <c r="K151" i="1"/>
  <c r="K144" i="1"/>
  <c r="K153" i="1"/>
  <c r="K154" i="1"/>
  <c r="K146" i="1"/>
  <c r="K147" i="1"/>
  <c r="K148" i="1"/>
  <c r="K142" i="1"/>
  <c r="K149" i="1"/>
  <c r="K141" i="1"/>
  <c r="L141" i="1" s="1"/>
  <c r="K152" i="1"/>
  <c r="K93" i="1"/>
  <c r="K92" i="1"/>
  <c r="L92" i="1" s="1"/>
  <c r="I78" i="1"/>
  <c r="K460" i="1"/>
  <c r="K503" i="1"/>
  <c r="K506" i="1"/>
  <c r="K505" i="1"/>
  <c r="K507" i="1"/>
  <c r="K497" i="1"/>
  <c r="L497" i="1" s="1"/>
  <c r="K504" i="1"/>
  <c r="K498" i="1"/>
  <c r="K499" i="1"/>
  <c r="I514" i="1"/>
  <c r="M317" i="1" s="1"/>
  <c r="K508" i="1"/>
  <c r="K509" i="1"/>
  <c r="K459" i="1"/>
  <c r="K380" i="1"/>
  <c r="K477" i="1"/>
  <c r="K176" i="1"/>
  <c r="K501" i="1"/>
  <c r="K143" i="1"/>
  <c r="K320" i="1"/>
  <c r="K500" i="1"/>
  <c r="K326" i="1"/>
  <c r="K178" i="1"/>
  <c r="K335" i="1"/>
  <c r="K361" i="1"/>
  <c r="L27" i="1"/>
  <c r="L28" i="1" s="1"/>
  <c r="L29" i="1" s="1"/>
  <c r="L30" i="1" s="1"/>
  <c r="K185" i="1"/>
  <c r="K195" i="1"/>
  <c r="K184" i="1"/>
  <c r="K192" i="1"/>
  <c r="K200" i="1"/>
  <c r="K208" i="1"/>
  <c r="K216" i="1"/>
  <c r="K193" i="1"/>
  <c r="K211" i="1"/>
  <c r="K201" i="1"/>
  <c r="K209" i="1"/>
  <c r="K217" i="1"/>
  <c r="K203" i="1"/>
  <c r="K186" i="1"/>
  <c r="K194" i="1"/>
  <c r="K202" i="1"/>
  <c r="K210" i="1"/>
  <c r="K218" i="1"/>
  <c r="K187" i="1"/>
  <c r="K219" i="1"/>
  <c r="K189" i="1"/>
  <c r="K212" i="1"/>
  <c r="K213" i="1"/>
  <c r="K205" i="1"/>
  <c r="K206" i="1"/>
  <c r="K190" i="1"/>
  <c r="K196" i="1"/>
  <c r="K214" i="1"/>
  <c r="K197" i="1"/>
  <c r="K220" i="1"/>
  <c r="K182" i="1"/>
  <c r="L182" i="1" s="1"/>
  <c r="K198" i="1"/>
  <c r="K221" i="1"/>
  <c r="K204" i="1"/>
  <c r="K188" i="1"/>
  <c r="I304" i="1"/>
  <c r="K183" i="1"/>
  <c r="K118" i="1"/>
  <c r="L118" i="1" s="1"/>
  <c r="K119" i="1"/>
  <c r="K121" i="1"/>
  <c r="K191" i="1"/>
  <c r="K392" i="1"/>
  <c r="L392" i="1" s="1"/>
  <c r="K400" i="1"/>
  <c r="K394" i="1"/>
  <c r="K393" i="1"/>
  <c r="K401" i="1"/>
  <c r="K402" i="1"/>
  <c r="K395" i="1"/>
  <c r="K396" i="1"/>
  <c r="K398" i="1"/>
  <c r="K399" i="1"/>
  <c r="K300" i="1"/>
  <c r="L300" i="1" s="1"/>
  <c r="L301" i="1" s="1"/>
  <c r="L302" i="1" s="1"/>
  <c r="K303" i="1"/>
  <c r="K199" i="1"/>
  <c r="L512" i="1"/>
  <c r="K409" i="1"/>
  <c r="K417" i="1"/>
  <c r="K411" i="1"/>
  <c r="K410" i="1"/>
  <c r="K418" i="1"/>
  <c r="K419" i="1"/>
  <c r="K408" i="1"/>
  <c r="K406" i="1"/>
  <c r="K414" i="1"/>
  <c r="K416" i="1"/>
  <c r="K422" i="1"/>
  <c r="K423" i="1"/>
  <c r="K405" i="1"/>
  <c r="K88" i="1"/>
  <c r="K207" i="1"/>
  <c r="K310" i="1"/>
  <c r="L310" i="1" s="1"/>
  <c r="L311" i="1" s="1"/>
  <c r="L312" i="1" s="1"/>
  <c r="L74" i="1"/>
  <c r="L75" i="1" s="1"/>
  <c r="L76" i="1" s="1"/>
  <c r="L77" i="1" s="1"/>
  <c r="K421" i="1"/>
  <c r="L161" i="1" l="1"/>
  <c r="L162" i="1" s="1"/>
  <c r="L163" i="1" s="1"/>
  <c r="L164" i="1" s="1"/>
  <c r="L165" i="1" s="1"/>
  <c r="L99" i="1"/>
  <c r="L100" i="1" s="1"/>
  <c r="L101" i="1" s="1"/>
  <c r="L63" i="1"/>
  <c r="L64" i="1" s="1"/>
  <c r="L65" i="1" s="1"/>
  <c r="L66" i="1" s="1"/>
  <c r="L285" i="1"/>
  <c r="L286" i="1" s="1"/>
  <c r="L287" i="1" s="1"/>
  <c r="L288" i="1" s="1"/>
  <c r="L289" i="1" s="1"/>
  <c r="L290" i="1" s="1"/>
  <c r="L291" i="1" s="1"/>
  <c r="L292" i="1" s="1"/>
  <c r="L293" i="1" s="1"/>
  <c r="L294" i="1" s="1"/>
  <c r="L295" i="1" s="1"/>
  <c r="L296" i="1" s="1"/>
  <c r="L297" i="1" s="1"/>
  <c r="L298" i="1" s="1"/>
  <c r="L81" i="1"/>
  <c r="L82" i="1" s="1"/>
  <c r="L83" i="1" s="1"/>
  <c r="L84" i="1" s="1"/>
  <c r="L104" i="1"/>
  <c r="L105" i="1" s="1"/>
  <c r="L106" i="1" s="1"/>
  <c r="L107" i="1" s="1"/>
  <c r="L308" i="1"/>
  <c r="L23" i="1"/>
  <c r="L24" i="1" s="1"/>
  <c r="L108" i="1"/>
  <c r="L109" i="1" s="1"/>
  <c r="L484" i="1"/>
  <c r="L485" i="1" s="1"/>
  <c r="L486" i="1" s="1"/>
  <c r="L487" i="1" s="1"/>
  <c r="L488" i="1" s="1"/>
  <c r="L489" i="1" s="1"/>
  <c r="L490" i="1" s="1"/>
  <c r="L491" i="1" s="1"/>
  <c r="L492" i="1" s="1"/>
  <c r="L493" i="1" s="1"/>
  <c r="L494" i="1" s="1"/>
  <c r="L495" i="1" s="1"/>
  <c r="L7" i="1"/>
  <c r="L8" i="1" s="1"/>
  <c r="L9" i="1" s="1"/>
  <c r="L10" i="1" s="1"/>
  <c r="L11" i="1" s="1"/>
  <c r="L12" i="1" s="1"/>
  <c r="L13" i="1" s="1"/>
  <c r="L157" i="1"/>
  <c r="L158" i="1" s="1"/>
  <c r="L131" i="1"/>
  <c r="L132" i="1" s="1"/>
  <c r="L133" i="1" s="1"/>
  <c r="L134" i="1" s="1"/>
  <c r="L135" i="1" s="1"/>
  <c r="L405" i="1"/>
  <c r="L406" i="1" s="1"/>
  <c r="L407" i="1" s="1"/>
  <c r="L408" i="1" s="1"/>
  <c r="L409" i="1" s="1"/>
  <c r="L410" i="1" s="1"/>
  <c r="L411" i="1" s="1"/>
  <c r="L412" i="1" s="1"/>
  <c r="L413" i="1" s="1"/>
  <c r="L414" i="1" s="1"/>
  <c r="L415" i="1" s="1"/>
  <c r="L416" i="1" s="1"/>
  <c r="L417" i="1" s="1"/>
  <c r="L418" i="1" s="1"/>
  <c r="L419" i="1" s="1"/>
  <c r="L420" i="1" s="1"/>
  <c r="L421" i="1" s="1"/>
  <c r="L422" i="1" s="1"/>
  <c r="L423" i="1" s="1"/>
  <c r="L426" i="1"/>
  <c r="L427" i="1" s="1"/>
  <c r="L428" i="1" s="1"/>
  <c r="L429" i="1" s="1"/>
  <c r="L430" i="1" s="1"/>
  <c r="L431" i="1" s="1"/>
  <c r="L432" i="1" s="1"/>
  <c r="L433" i="1" s="1"/>
  <c r="L434" i="1" s="1"/>
  <c r="L435" i="1" s="1"/>
  <c r="L436" i="1" s="1"/>
  <c r="L437" i="1" s="1"/>
  <c r="L438" i="1" s="1"/>
  <c r="L439" i="1" s="1"/>
  <c r="L440" i="1" s="1"/>
  <c r="L441" i="1" s="1"/>
  <c r="L442" i="1" s="1"/>
  <c r="L443" i="1" s="1"/>
  <c r="L444" i="1" s="1"/>
  <c r="L445" i="1" s="1"/>
  <c r="L53" i="1"/>
  <c r="L54" i="1" s="1"/>
  <c r="L55" i="1" s="1"/>
  <c r="L56" i="1" s="1"/>
  <c r="L57" i="1" s="1"/>
  <c r="L58" i="1" s="1"/>
  <c r="L136" i="1"/>
  <c r="L137" i="1" s="1"/>
  <c r="L138" i="1" s="1"/>
  <c r="L139" i="1" s="1"/>
  <c r="L69" i="1"/>
  <c r="L70" i="1" s="1"/>
  <c r="L71" i="1" s="1"/>
  <c r="L344" i="1"/>
  <c r="L345" i="1" s="1"/>
  <c r="L346" i="1" s="1"/>
  <c r="L347" i="1" s="1"/>
  <c r="L348" i="1" s="1"/>
  <c r="L448" i="1"/>
  <c r="L449" i="1" s="1"/>
  <c r="L450" i="1" s="1"/>
  <c r="L451" i="1" s="1"/>
  <c r="L452" i="1" s="1"/>
  <c r="L453" i="1" s="1"/>
  <c r="L454" i="1" s="1"/>
  <c r="L455" i="1" s="1"/>
  <c r="L456" i="1" s="1"/>
  <c r="L457" i="1" s="1"/>
  <c r="L458" i="1" s="1"/>
  <c r="L459" i="1" s="1"/>
  <c r="L460" i="1" s="1"/>
  <c r="L461" i="1" s="1"/>
  <c r="L462" i="1" s="1"/>
  <c r="L463" i="1" s="1"/>
  <c r="L464" i="1" s="1"/>
  <c r="L465" i="1" s="1"/>
  <c r="L466" i="1" s="1"/>
  <c r="L467" i="1" s="1"/>
  <c r="L468" i="1" s="1"/>
  <c r="L469" i="1" s="1"/>
  <c r="L470" i="1" s="1"/>
  <c r="L471" i="1" s="1"/>
  <c r="L472" i="1" s="1"/>
  <c r="L473" i="1" s="1"/>
  <c r="L474" i="1" s="1"/>
  <c r="L475" i="1" s="1"/>
  <c r="L476" i="1" s="1"/>
  <c r="L477" i="1" s="1"/>
  <c r="L478" i="1" s="1"/>
  <c r="L479" i="1" s="1"/>
  <c r="L480" i="1" s="1"/>
  <c r="M342" i="1"/>
  <c r="L174" i="1"/>
  <c r="L175" i="1" s="1"/>
  <c r="L176" i="1" s="1"/>
  <c r="L177" i="1" s="1"/>
  <c r="L178" i="1" s="1"/>
  <c r="L179" i="1" s="1"/>
  <c r="L180" i="1" s="1"/>
  <c r="L319" i="1"/>
  <c r="L320" i="1" s="1"/>
  <c r="L321" i="1" s="1"/>
  <c r="L322" i="1" s="1"/>
  <c r="L323" i="1" s="1"/>
  <c r="L324" i="1" s="1"/>
  <c r="L325" i="1" s="1"/>
  <c r="L326" i="1" s="1"/>
  <c r="L327" i="1" s="1"/>
  <c r="L328" i="1" s="1"/>
  <c r="L329" i="1" s="1"/>
  <c r="L330" i="1" s="1"/>
  <c r="L331" i="1" s="1"/>
  <c r="L332" i="1" s="1"/>
  <c r="L333" i="1" s="1"/>
  <c r="L334" i="1" s="1"/>
  <c r="L335" i="1" s="1"/>
  <c r="L336" i="1" s="1"/>
  <c r="L337" i="1" s="1"/>
  <c r="L338" i="1" s="1"/>
  <c r="L339" i="1" s="1"/>
  <c r="L340" i="1" s="1"/>
  <c r="L341" i="1" s="1"/>
  <c r="L225" i="1"/>
  <c r="L226" i="1" s="1"/>
  <c r="L227" i="1" s="1"/>
  <c r="L228" i="1" s="1"/>
  <c r="L229" i="1" s="1"/>
  <c r="L230" i="1" s="1"/>
  <c r="L231" i="1" s="1"/>
  <c r="L232" i="1" s="1"/>
  <c r="L233" i="1" s="1"/>
  <c r="L234" i="1" s="1"/>
  <c r="L235" i="1" s="1"/>
  <c r="L236" i="1" s="1"/>
  <c r="L237" i="1" s="1"/>
  <c r="L238" i="1" s="1"/>
  <c r="L239" i="1" s="1"/>
  <c r="L240" i="1" s="1"/>
  <c r="L241" i="1" s="1"/>
  <c r="L242" i="1" s="1"/>
  <c r="L243" i="1" s="1"/>
  <c r="L244" i="1" s="1"/>
  <c r="L245" i="1" s="1"/>
  <c r="L246" i="1" s="1"/>
  <c r="L247" i="1" s="1"/>
  <c r="L248" i="1" s="1"/>
  <c r="L249" i="1" s="1"/>
  <c r="L250" i="1" s="1"/>
  <c r="L251" i="1" s="1"/>
  <c r="L252" i="1" s="1"/>
  <c r="L253" i="1" s="1"/>
  <c r="L254" i="1" s="1"/>
  <c r="L255" i="1" s="1"/>
  <c r="L256" i="1" s="1"/>
  <c r="L257" i="1" s="1"/>
  <c r="L258" i="1" s="1"/>
  <c r="L259" i="1" s="1"/>
  <c r="L260" i="1" s="1"/>
  <c r="L261" i="1" s="1"/>
  <c r="L262" i="1" s="1"/>
  <c r="L263" i="1" s="1"/>
  <c r="L264" i="1" s="1"/>
  <c r="L265" i="1" s="1"/>
  <c r="L266" i="1" s="1"/>
  <c r="L267" i="1" s="1"/>
  <c r="L268" i="1" s="1"/>
  <c r="L269" i="1" s="1"/>
  <c r="L270" i="1" s="1"/>
  <c r="L271" i="1" s="1"/>
  <c r="L272" i="1" s="1"/>
  <c r="L273" i="1" s="1"/>
  <c r="L274" i="1" s="1"/>
  <c r="L275" i="1" s="1"/>
  <c r="L276" i="1" s="1"/>
  <c r="L277" i="1" s="1"/>
  <c r="L278" i="1" s="1"/>
  <c r="L279" i="1" s="1"/>
  <c r="L280" i="1" s="1"/>
  <c r="L281" i="1" s="1"/>
  <c r="L282" i="1" s="1"/>
  <c r="M91" i="1"/>
  <c r="M19" i="1"/>
  <c r="M304" i="1"/>
  <c r="M48" i="1"/>
  <c r="M349" i="1"/>
  <c r="M496" i="1"/>
  <c r="M78" i="1"/>
  <c r="M122" i="1"/>
  <c r="M43" i="1"/>
  <c r="L303" i="1"/>
  <c r="L183" i="1"/>
  <c r="L184" i="1" s="1"/>
  <c r="L185" i="1" s="1"/>
  <c r="L186" i="1" s="1"/>
  <c r="L187" i="1" s="1"/>
  <c r="L188" i="1" s="1"/>
  <c r="L189" i="1" s="1"/>
  <c r="L190" i="1" s="1"/>
  <c r="L191" i="1" s="1"/>
  <c r="L192" i="1" s="1"/>
  <c r="L193" i="1" s="1"/>
  <c r="L194" i="1" s="1"/>
  <c r="L195" i="1" s="1"/>
  <c r="L196" i="1" s="1"/>
  <c r="L197" i="1" s="1"/>
  <c r="L198" i="1" s="1"/>
  <c r="L199" i="1" s="1"/>
  <c r="L200" i="1" s="1"/>
  <c r="L201" i="1" s="1"/>
  <c r="L202" i="1" s="1"/>
  <c r="L203" i="1" s="1"/>
  <c r="L204" i="1" s="1"/>
  <c r="L205" i="1" s="1"/>
  <c r="L206" i="1" s="1"/>
  <c r="L207" i="1" s="1"/>
  <c r="L208" i="1" s="1"/>
  <c r="L209" i="1" s="1"/>
  <c r="L210" i="1" s="1"/>
  <c r="L211" i="1" s="1"/>
  <c r="L212" i="1" s="1"/>
  <c r="L213" i="1" s="1"/>
  <c r="L214" i="1" s="1"/>
  <c r="L215" i="1" s="1"/>
  <c r="L216" i="1" s="1"/>
  <c r="L217" i="1" s="1"/>
  <c r="L218" i="1" s="1"/>
  <c r="L219" i="1" s="1"/>
  <c r="L220" i="1" s="1"/>
  <c r="L221" i="1" s="1"/>
  <c r="L498" i="1"/>
  <c r="L499" i="1" s="1"/>
  <c r="L500" i="1" s="1"/>
  <c r="L501" i="1" s="1"/>
  <c r="L502" i="1" s="1"/>
  <c r="L503" i="1" s="1"/>
  <c r="L504" i="1" s="1"/>
  <c r="L505" i="1" s="1"/>
  <c r="L506" i="1" s="1"/>
  <c r="L507" i="1" s="1"/>
  <c r="L508" i="1" s="1"/>
  <c r="L509" i="1" s="1"/>
  <c r="L93" i="1"/>
  <c r="M140" i="1"/>
  <c r="L351" i="1"/>
  <c r="L352" i="1" s="1"/>
  <c r="L353" i="1" s="1"/>
  <c r="L354" i="1" s="1"/>
  <c r="L355" i="1" s="1"/>
  <c r="L356" i="1" s="1"/>
  <c r="L357" i="1" s="1"/>
  <c r="L358" i="1" s="1"/>
  <c r="L359" i="1" s="1"/>
  <c r="L360" i="1" s="1"/>
  <c r="L361" i="1" s="1"/>
  <c r="L362" i="1" s="1"/>
  <c r="L363" i="1" s="1"/>
  <c r="L364" i="1" s="1"/>
  <c r="L365" i="1" s="1"/>
  <c r="L366" i="1" s="1"/>
  <c r="L367" i="1" s="1"/>
  <c r="L368" i="1" s="1"/>
  <c r="L369" i="1" s="1"/>
  <c r="L370" i="1" s="1"/>
  <c r="L371" i="1" s="1"/>
  <c r="L372" i="1" s="1"/>
  <c r="L373" i="1" s="1"/>
  <c r="L374" i="1" s="1"/>
  <c r="L375" i="1" s="1"/>
  <c r="L376" i="1" s="1"/>
  <c r="L377" i="1" s="1"/>
  <c r="L378" i="1" s="1"/>
  <c r="L379" i="1" s="1"/>
  <c r="L380" i="1" s="1"/>
  <c r="L381" i="1" s="1"/>
  <c r="L382" i="1" s="1"/>
  <c r="L383" i="1" s="1"/>
  <c r="L384" i="1" s="1"/>
  <c r="L385" i="1" s="1"/>
  <c r="L386" i="1" s="1"/>
  <c r="L387" i="1" s="1"/>
  <c r="L388" i="1" s="1"/>
  <c r="L389" i="1" s="1"/>
  <c r="L390" i="1" s="1"/>
  <c r="L88" i="1"/>
  <c r="M446" i="1"/>
  <c r="M223" i="1"/>
  <c r="M222" i="1"/>
  <c r="L393" i="1"/>
  <c r="L394" i="1" s="1"/>
  <c r="L395" i="1" s="1"/>
  <c r="L396" i="1" s="1"/>
  <c r="L397" i="1" s="1"/>
  <c r="L398" i="1" s="1"/>
  <c r="L399" i="1" s="1"/>
  <c r="L400" i="1" s="1"/>
  <c r="L401" i="1" s="1"/>
  <c r="L402" i="1" s="1"/>
  <c r="L119" i="1"/>
  <c r="L120" i="1" s="1"/>
  <c r="L121" i="1" s="1"/>
  <c r="M50" i="1"/>
  <c r="M11" i="1"/>
  <c r="G11" i="1" s="1"/>
  <c r="F11" i="1" s="1"/>
  <c r="M424" i="1"/>
  <c r="M30" i="1"/>
  <c r="G30" i="1" s="1"/>
  <c r="F30" i="1" s="1"/>
  <c r="M331" i="1"/>
  <c r="G331" i="1" s="1"/>
  <c r="F331" i="1" s="1"/>
  <c r="M104" i="1"/>
  <c r="G104" i="1" s="1"/>
  <c r="F104" i="1" s="1"/>
  <c r="M268" i="1"/>
  <c r="G268" i="1" s="1"/>
  <c r="F268" i="1" s="1"/>
  <c r="M451" i="1"/>
  <c r="G451" i="1" s="1"/>
  <c r="F451" i="1" s="1"/>
  <c r="M491" i="1"/>
  <c r="G491" i="1" s="1"/>
  <c r="F491" i="1" s="1"/>
  <c r="M474" i="1"/>
  <c r="G474" i="1" s="1"/>
  <c r="F474" i="1" s="1"/>
  <c r="M458" i="1"/>
  <c r="G458" i="1" s="1"/>
  <c r="F458" i="1" s="1"/>
  <c r="M440" i="1"/>
  <c r="G440" i="1" s="1"/>
  <c r="F440" i="1" s="1"/>
  <c r="M423" i="1"/>
  <c r="G423" i="1" s="1"/>
  <c r="F423" i="1" s="1"/>
  <c r="M415" i="1"/>
  <c r="G415" i="1" s="1"/>
  <c r="F415" i="1" s="1"/>
  <c r="M407" i="1"/>
  <c r="G407" i="1" s="1"/>
  <c r="F407" i="1" s="1"/>
  <c r="M393" i="1"/>
  <c r="G393" i="1" s="1"/>
  <c r="F393" i="1" s="1"/>
  <c r="M351" i="1"/>
  <c r="G351" i="1" s="1"/>
  <c r="M338" i="1"/>
  <c r="G338" i="1" s="1"/>
  <c r="F338" i="1" s="1"/>
  <c r="M322" i="1"/>
  <c r="G322" i="1" s="1"/>
  <c r="F322" i="1" s="1"/>
  <c r="M301" i="1"/>
  <c r="G301" i="1" s="1"/>
  <c r="F301" i="1" s="1"/>
  <c r="M373" i="1"/>
  <c r="M357" i="1"/>
  <c r="M292" i="1"/>
  <c r="G292" i="1" s="1"/>
  <c r="F292" i="1" s="1"/>
  <c r="M284" i="1"/>
  <c r="M267" i="1"/>
  <c r="G267" i="1" s="1"/>
  <c r="F267" i="1" s="1"/>
  <c r="M251" i="1"/>
  <c r="G251" i="1" s="1"/>
  <c r="F251" i="1" s="1"/>
  <c r="M240" i="1"/>
  <c r="G240" i="1" s="1"/>
  <c r="F240" i="1" s="1"/>
  <c r="M216" i="1"/>
  <c r="G216" i="1" s="1"/>
  <c r="F216" i="1" s="1"/>
  <c r="M200" i="1"/>
  <c r="G200" i="1" s="1"/>
  <c r="F200" i="1" s="1"/>
  <c r="M184" i="1"/>
  <c r="G184" i="1" s="1"/>
  <c r="F184" i="1" s="1"/>
  <c r="M157" i="1"/>
  <c r="G157" i="1" s="1"/>
  <c r="F157" i="1" s="1"/>
  <c r="M146" i="1"/>
  <c r="G146" i="1" s="1"/>
  <c r="F146" i="1" s="1"/>
  <c r="M135" i="1"/>
  <c r="G135" i="1" s="1"/>
  <c r="F135" i="1" s="1"/>
  <c r="M114" i="1"/>
  <c r="G114" i="1" s="1"/>
  <c r="F114" i="1" s="1"/>
  <c r="M97" i="1"/>
  <c r="G97" i="1" s="1"/>
  <c r="F97" i="1" s="1"/>
  <c r="M76" i="1"/>
  <c r="G76" i="1" s="1"/>
  <c r="F76" i="1" s="1"/>
  <c r="M47" i="1"/>
  <c r="G47" i="1" s="1"/>
  <c r="F47" i="1" s="1"/>
  <c r="M26" i="1"/>
  <c r="M490" i="1"/>
  <c r="G490" i="1" s="1"/>
  <c r="F490" i="1" s="1"/>
  <c r="M457" i="1"/>
  <c r="G457" i="1" s="1"/>
  <c r="F457" i="1" s="1"/>
  <c r="M400" i="1"/>
  <c r="G400" i="1" s="1"/>
  <c r="F400" i="1" s="1"/>
  <c r="M321" i="1"/>
  <c r="G321" i="1" s="1"/>
  <c r="F321" i="1" s="1"/>
  <c r="M372" i="1"/>
  <c r="M270" i="1"/>
  <c r="G270" i="1" s="1"/>
  <c r="F270" i="1" s="1"/>
  <c r="M235" i="1"/>
  <c r="G235" i="1" s="1"/>
  <c r="F235" i="1" s="1"/>
  <c r="M205" i="1"/>
  <c r="G205" i="1" s="1"/>
  <c r="F205" i="1" s="1"/>
  <c r="M158" i="1"/>
  <c r="G158" i="1" s="1"/>
  <c r="F158" i="1" s="1"/>
  <c r="M101" i="1"/>
  <c r="G101" i="1" s="1"/>
  <c r="F101" i="1" s="1"/>
  <c r="M58" i="1"/>
  <c r="G58" i="1" s="1"/>
  <c r="F58" i="1" s="1"/>
  <c r="M13" i="1"/>
  <c r="G13" i="1" s="1"/>
  <c r="F13" i="1" s="1"/>
  <c r="M59" i="1"/>
  <c r="M299" i="1"/>
  <c r="M110" i="1"/>
  <c r="M31" i="1"/>
  <c r="M79" i="1"/>
  <c r="M57" i="1"/>
  <c r="M69" i="1"/>
  <c r="G69" i="1" s="1"/>
  <c r="F69" i="1" s="1"/>
  <c r="M165" i="1"/>
  <c r="G165" i="1" s="1"/>
  <c r="F165" i="1" s="1"/>
  <c r="M237" i="1"/>
  <c r="G237" i="1" s="1"/>
  <c r="F237" i="1" s="1"/>
  <c r="M378" i="1"/>
  <c r="M437" i="1"/>
  <c r="G437" i="1" s="1"/>
  <c r="F437" i="1" s="1"/>
  <c r="M498" i="1"/>
  <c r="G498" i="1" s="1"/>
  <c r="F498" i="1" s="1"/>
  <c r="M506" i="1"/>
  <c r="G506" i="1" s="1"/>
  <c r="F506" i="1" s="1"/>
  <c r="M108" i="1"/>
  <c r="G108" i="1" s="1"/>
  <c r="F108" i="1" s="1"/>
  <c r="M178" i="1"/>
  <c r="M183" i="1"/>
  <c r="G183" i="1" s="1"/>
  <c r="F183" i="1" s="1"/>
  <c r="M314" i="1"/>
  <c r="M55" i="1"/>
  <c r="G55" i="1" s="1"/>
  <c r="F55" i="1" s="1"/>
  <c r="M71" i="1"/>
  <c r="G71" i="1" s="1"/>
  <c r="F71" i="1" s="1"/>
  <c r="M425" i="1"/>
  <c r="M121" i="1"/>
  <c r="G121" i="1" s="1"/>
  <c r="F121" i="1" s="1"/>
  <c r="M358" i="1"/>
  <c r="M467" i="1"/>
  <c r="G467" i="1" s="1"/>
  <c r="F467" i="1" s="1"/>
  <c r="M489" i="1"/>
  <c r="G489" i="1" s="1"/>
  <c r="F489" i="1" s="1"/>
  <c r="M472" i="1"/>
  <c r="G472" i="1" s="1"/>
  <c r="F472" i="1" s="1"/>
  <c r="M456" i="1"/>
  <c r="G456" i="1" s="1"/>
  <c r="F456" i="1" s="1"/>
  <c r="M438" i="1"/>
  <c r="G438" i="1" s="1"/>
  <c r="F438" i="1" s="1"/>
  <c r="M422" i="1"/>
  <c r="G422" i="1" s="1"/>
  <c r="F422" i="1" s="1"/>
  <c r="M414" i="1"/>
  <c r="G414" i="1" s="1"/>
  <c r="F414" i="1" s="1"/>
  <c r="M406" i="1"/>
  <c r="G406" i="1" s="1"/>
  <c r="F406" i="1" s="1"/>
  <c r="M390" i="1"/>
  <c r="G390" i="1" s="1"/>
  <c r="F390" i="1" s="1"/>
  <c r="M348" i="1"/>
  <c r="G348" i="1" s="1"/>
  <c r="F348" i="1" s="1"/>
  <c r="M336" i="1"/>
  <c r="G336" i="1" s="1"/>
  <c r="F336" i="1" s="1"/>
  <c r="M320" i="1"/>
  <c r="G320" i="1" s="1"/>
  <c r="F320" i="1" s="1"/>
  <c r="M387" i="1"/>
  <c r="M371" i="1"/>
  <c r="M350" i="1"/>
  <c r="M291" i="1"/>
  <c r="G291" i="1" s="1"/>
  <c r="F291" i="1" s="1"/>
  <c r="M281" i="1"/>
  <c r="G281" i="1" s="1"/>
  <c r="F281" i="1" s="1"/>
  <c r="M265" i="1"/>
  <c r="G265" i="1" s="1"/>
  <c r="F265" i="1" s="1"/>
  <c r="M249" i="1"/>
  <c r="G249" i="1" s="1"/>
  <c r="F249" i="1" s="1"/>
  <c r="M238" i="1"/>
  <c r="G238" i="1" s="1"/>
  <c r="F238" i="1" s="1"/>
  <c r="M214" i="1"/>
  <c r="G214" i="1" s="1"/>
  <c r="F214" i="1" s="1"/>
  <c r="M198" i="1"/>
  <c r="G198" i="1" s="1"/>
  <c r="F198" i="1" s="1"/>
  <c r="M182" i="1"/>
  <c r="M154" i="1"/>
  <c r="G154" i="1" s="1"/>
  <c r="F154" i="1" s="1"/>
  <c r="M145" i="1"/>
  <c r="G145" i="1" s="1"/>
  <c r="F145" i="1" s="1"/>
  <c r="M132" i="1"/>
  <c r="G132" i="1" s="1"/>
  <c r="F132" i="1" s="1"/>
  <c r="M112" i="1"/>
  <c r="G112" i="1" s="1"/>
  <c r="F112" i="1" s="1"/>
  <c r="M95" i="1"/>
  <c r="M75" i="1"/>
  <c r="G75" i="1" s="1"/>
  <c r="F75" i="1" s="1"/>
  <c r="M45" i="1"/>
  <c r="M23" i="1"/>
  <c r="G23" i="1" s="1"/>
  <c r="F23" i="1" s="1"/>
  <c r="M486" i="1"/>
  <c r="G486" i="1" s="1"/>
  <c r="F486" i="1" s="1"/>
  <c r="M453" i="1"/>
  <c r="G453" i="1" s="1"/>
  <c r="F453" i="1" s="1"/>
  <c r="M396" i="1"/>
  <c r="G396" i="1" s="1"/>
  <c r="F396" i="1" s="1"/>
  <c r="M316" i="1"/>
  <c r="G316" i="1" s="1"/>
  <c r="F316" i="1" s="1"/>
  <c r="M368" i="1"/>
  <c r="M266" i="1"/>
  <c r="G266" i="1" s="1"/>
  <c r="F266" i="1" s="1"/>
  <c r="M232" i="1"/>
  <c r="G232" i="1" s="1"/>
  <c r="F232" i="1" s="1"/>
  <c r="M201" i="1"/>
  <c r="G201" i="1" s="1"/>
  <c r="F201" i="1" s="1"/>
  <c r="M139" i="1"/>
  <c r="G139" i="1" s="1"/>
  <c r="F139" i="1" s="1"/>
  <c r="M93" i="1"/>
  <c r="G93" i="1" s="1"/>
  <c r="F93" i="1" s="1"/>
  <c r="M53" i="1"/>
  <c r="M10" i="1"/>
  <c r="G10" i="1" s="1"/>
  <c r="F10" i="1" s="1"/>
  <c r="M94" i="1"/>
  <c r="M25" i="1"/>
  <c r="M128" i="1"/>
  <c r="M92" i="1"/>
  <c r="M256" i="1"/>
  <c r="G256" i="1" s="1"/>
  <c r="F256" i="1" s="1"/>
  <c r="M102" i="1"/>
  <c r="M131" i="1"/>
  <c r="G131" i="1" s="1"/>
  <c r="F131" i="1" s="1"/>
  <c r="M113" i="1"/>
  <c r="G113" i="1" s="1"/>
  <c r="F113" i="1" s="1"/>
  <c r="M459" i="1"/>
  <c r="G459" i="1" s="1"/>
  <c r="F459" i="1" s="1"/>
  <c r="M161" i="1"/>
  <c r="G161" i="1" s="1"/>
  <c r="F161" i="1" s="1"/>
  <c r="M374" i="1"/>
  <c r="M484" i="1"/>
  <c r="G484" i="1" s="1"/>
  <c r="F484" i="1" s="1"/>
  <c r="M487" i="1"/>
  <c r="G487" i="1" s="1"/>
  <c r="F487" i="1" s="1"/>
  <c r="M470" i="1"/>
  <c r="G470" i="1" s="1"/>
  <c r="F470" i="1" s="1"/>
  <c r="M454" i="1"/>
  <c r="G454" i="1" s="1"/>
  <c r="F454" i="1" s="1"/>
  <c r="M436" i="1"/>
  <c r="G436" i="1" s="1"/>
  <c r="F436" i="1" s="1"/>
  <c r="M421" i="1"/>
  <c r="G421" i="1" s="1"/>
  <c r="F421" i="1" s="1"/>
  <c r="M413" i="1"/>
  <c r="G413" i="1" s="1"/>
  <c r="F413" i="1" s="1"/>
  <c r="M405" i="1"/>
  <c r="G405" i="1" s="1"/>
  <c r="F405" i="1" s="1"/>
  <c r="M389" i="1"/>
  <c r="G389" i="1" s="1"/>
  <c r="F389" i="1" s="1"/>
  <c r="M347" i="1"/>
  <c r="G347" i="1" s="1"/>
  <c r="F347" i="1" s="1"/>
  <c r="M334" i="1"/>
  <c r="G334" i="1" s="1"/>
  <c r="F334" i="1" s="1"/>
  <c r="M318" i="1"/>
  <c r="M385" i="1"/>
  <c r="M369" i="1"/>
  <c r="M298" i="1"/>
  <c r="G298" i="1" s="1"/>
  <c r="F298" i="1" s="1"/>
  <c r="M290" i="1"/>
  <c r="G290" i="1" s="1"/>
  <c r="F290" i="1" s="1"/>
  <c r="M279" i="1"/>
  <c r="G279" i="1" s="1"/>
  <c r="F279" i="1" s="1"/>
  <c r="M263" i="1"/>
  <c r="G263" i="1" s="1"/>
  <c r="F263" i="1" s="1"/>
  <c r="M248" i="1"/>
  <c r="G248" i="1" s="1"/>
  <c r="F248" i="1" s="1"/>
  <c r="M236" i="1"/>
  <c r="G236" i="1" s="1"/>
  <c r="F236" i="1" s="1"/>
  <c r="M212" i="1"/>
  <c r="G212" i="1" s="1"/>
  <c r="F212" i="1" s="1"/>
  <c r="M196" i="1"/>
  <c r="G196" i="1" s="1"/>
  <c r="F196" i="1" s="1"/>
  <c r="M179" i="1"/>
  <c r="G179" i="1" s="1"/>
  <c r="F179" i="1" s="1"/>
  <c r="M153" i="1"/>
  <c r="G153" i="1" s="1"/>
  <c r="F153" i="1" s="1"/>
  <c r="M144" i="1"/>
  <c r="G144" i="1" s="1"/>
  <c r="F144" i="1" s="1"/>
  <c r="M130" i="1"/>
  <c r="G130" i="1" s="1"/>
  <c r="F130" i="1" s="1"/>
  <c r="M111" i="1"/>
  <c r="M88" i="1"/>
  <c r="G88" i="1" s="1"/>
  <c r="F88" i="1" s="1"/>
  <c r="M73" i="1"/>
  <c r="M41" i="1"/>
  <c r="M21" i="1"/>
  <c r="M482" i="1"/>
  <c r="M449" i="1"/>
  <c r="G449" i="1" s="1"/>
  <c r="F449" i="1" s="1"/>
  <c r="M392" i="1"/>
  <c r="M311" i="1"/>
  <c r="G311" i="1" s="1"/>
  <c r="F311" i="1" s="1"/>
  <c r="M364" i="1"/>
  <c r="M262" i="1"/>
  <c r="G262" i="1" s="1"/>
  <c r="F262" i="1" s="1"/>
  <c r="M230" i="1"/>
  <c r="G230" i="1" s="1"/>
  <c r="F230" i="1" s="1"/>
  <c r="M197" i="1"/>
  <c r="G197" i="1" s="1"/>
  <c r="F197" i="1" s="1"/>
  <c r="M136" i="1"/>
  <c r="G136" i="1" s="1"/>
  <c r="F136" i="1" s="1"/>
  <c r="M87" i="1"/>
  <c r="G87" i="1" s="1"/>
  <c r="F87" i="1" s="1"/>
  <c r="M42" i="1"/>
  <c r="G42" i="1" s="1"/>
  <c r="F42" i="1" s="1"/>
  <c r="M8" i="1"/>
  <c r="G8" i="1" s="1"/>
  <c r="F8" i="1" s="1"/>
  <c r="M181" i="1"/>
  <c r="M20" i="1"/>
  <c r="M159" i="1"/>
  <c r="M9" i="1"/>
  <c r="G9" i="1" s="1"/>
  <c r="F9" i="1" s="1"/>
  <c r="M99" i="1"/>
  <c r="G99" i="1" s="1"/>
  <c r="F99" i="1" s="1"/>
  <c r="M191" i="1"/>
  <c r="G191" i="1" s="1"/>
  <c r="F191" i="1" s="1"/>
  <c r="M264" i="1"/>
  <c r="G264" i="1" s="1"/>
  <c r="F264" i="1" s="1"/>
  <c r="M308" i="1"/>
  <c r="G308" i="1" s="1"/>
  <c r="F308" i="1" s="1"/>
  <c r="M455" i="1"/>
  <c r="G455" i="1" s="1"/>
  <c r="F455" i="1" s="1"/>
  <c r="M500" i="1"/>
  <c r="G500" i="1" s="1"/>
  <c r="F500" i="1" s="1"/>
  <c r="M508" i="1"/>
  <c r="G508" i="1" s="1"/>
  <c r="F508" i="1" s="1"/>
  <c r="M219" i="1"/>
  <c r="G219" i="1" s="1"/>
  <c r="F219" i="1" s="1"/>
  <c r="M309" i="1"/>
  <c r="M366" i="1"/>
  <c r="M211" i="1"/>
  <c r="G211" i="1" s="1"/>
  <c r="F211" i="1" s="1"/>
  <c r="M14" i="1"/>
  <c r="M22" i="1"/>
  <c r="G22" i="1" s="1"/>
  <c r="F22" i="1" s="1"/>
  <c r="M203" i="1"/>
  <c r="G203" i="1" s="1"/>
  <c r="F203" i="1" s="1"/>
  <c r="M323" i="1"/>
  <c r="G323" i="1" s="1"/>
  <c r="F323" i="1" s="1"/>
  <c r="M168" i="1"/>
  <c r="M483" i="1"/>
  <c r="G483" i="1" s="1"/>
  <c r="F483" i="1" s="1"/>
  <c r="M466" i="1"/>
  <c r="G466" i="1" s="1"/>
  <c r="F466" i="1" s="1"/>
  <c r="M450" i="1"/>
  <c r="G450" i="1" s="1"/>
  <c r="F450" i="1" s="1"/>
  <c r="M432" i="1"/>
  <c r="G432" i="1" s="1"/>
  <c r="F432" i="1" s="1"/>
  <c r="M419" i="1"/>
  <c r="G419" i="1" s="1"/>
  <c r="F419" i="1" s="1"/>
  <c r="M411" i="1"/>
  <c r="G411" i="1" s="1"/>
  <c r="F411" i="1" s="1"/>
  <c r="M401" i="1"/>
  <c r="G401" i="1" s="1"/>
  <c r="F401" i="1" s="1"/>
  <c r="M356" i="1"/>
  <c r="G356" i="1" s="1"/>
  <c r="F356" i="1" s="1"/>
  <c r="M345" i="1"/>
  <c r="G345" i="1" s="1"/>
  <c r="F345" i="1" s="1"/>
  <c r="M330" i="1"/>
  <c r="G330" i="1" s="1"/>
  <c r="F330" i="1" s="1"/>
  <c r="M312" i="1"/>
  <c r="G312" i="1" s="1"/>
  <c r="F312" i="1" s="1"/>
  <c r="M381" i="1"/>
  <c r="M365" i="1"/>
  <c r="M296" i="1"/>
  <c r="G296" i="1" s="1"/>
  <c r="F296" i="1" s="1"/>
  <c r="M288" i="1"/>
  <c r="G288" i="1" s="1"/>
  <c r="F288" i="1" s="1"/>
  <c r="M275" i="1"/>
  <c r="G275" i="1" s="1"/>
  <c r="F275" i="1" s="1"/>
  <c r="M259" i="1"/>
  <c r="G259" i="1" s="1"/>
  <c r="F259" i="1" s="1"/>
  <c r="M246" i="1"/>
  <c r="G246" i="1" s="1"/>
  <c r="F246" i="1" s="1"/>
  <c r="M229" i="1"/>
  <c r="G229" i="1" s="1"/>
  <c r="F229" i="1" s="1"/>
  <c r="M208" i="1"/>
  <c r="G208" i="1" s="1"/>
  <c r="F208" i="1" s="1"/>
  <c r="M192" i="1"/>
  <c r="G192" i="1" s="1"/>
  <c r="F192" i="1" s="1"/>
  <c r="M173" i="1"/>
  <c r="M150" i="1"/>
  <c r="G150" i="1" s="1"/>
  <c r="F150" i="1" s="1"/>
  <c r="M142" i="1"/>
  <c r="G142" i="1" s="1"/>
  <c r="F142" i="1" s="1"/>
  <c r="M126" i="1"/>
  <c r="M105" i="1"/>
  <c r="G105" i="1" s="1"/>
  <c r="F105" i="1" s="1"/>
  <c r="M83" i="1"/>
  <c r="G83" i="1" s="1"/>
  <c r="F83" i="1" s="1"/>
  <c r="M63" i="1"/>
  <c r="G63" i="1" s="1"/>
  <c r="F63" i="1" s="1"/>
  <c r="M36" i="1"/>
  <c r="G36" i="1" s="1"/>
  <c r="F36" i="1" s="1"/>
  <c r="M15" i="1"/>
  <c r="M473" i="1"/>
  <c r="G473" i="1" s="1"/>
  <c r="F473" i="1" s="1"/>
  <c r="M439" i="1"/>
  <c r="G439" i="1" s="1"/>
  <c r="F439" i="1" s="1"/>
  <c r="M337" i="1"/>
  <c r="G337" i="1" s="1"/>
  <c r="F337" i="1" s="1"/>
  <c r="M445" i="1"/>
  <c r="M353" i="1"/>
  <c r="M254" i="1"/>
  <c r="G254" i="1" s="1"/>
  <c r="F254" i="1" s="1"/>
  <c r="M224" i="1"/>
  <c r="M189" i="1"/>
  <c r="G189" i="1" s="1"/>
  <c r="F189" i="1" s="1"/>
  <c r="M125" i="1"/>
  <c r="G125" i="1" s="1"/>
  <c r="F125" i="1" s="1"/>
  <c r="M74" i="1"/>
  <c r="G74" i="1" s="1"/>
  <c r="F74" i="1" s="1"/>
  <c r="M33" i="1"/>
  <c r="G33" i="1" s="1"/>
  <c r="F33" i="1" s="1"/>
  <c r="M175" i="1"/>
  <c r="M155" i="1"/>
  <c r="M72" i="1"/>
  <c r="M27" i="1"/>
  <c r="G27" i="1" s="1"/>
  <c r="F27" i="1" s="1"/>
  <c r="M116" i="1"/>
  <c r="G116" i="1" s="1"/>
  <c r="F116" i="1" s="1"/>
  <c r="M207" i="1"/>
  <c r="G207" i="1" s="1"/>
  <c r="F207" i="1" s="1"/>
  <c r="M280" i="1"/>
  <c r="G280" i="1" s="1"/>
  <c r="F280" i="1" s="1"/>
  <c r="M327" i="1"/>
  <c r="G327" i="1" s="1"/>
  <c r="F327" i="1" s="1"/>
  <c r="M471" i="1"/>
  <c r="G471" i="1" s="1"/>
  <c r="F471" i="1" s="1"/>
  <c r="M502" i="1"/>
  <c r="G502" i="1" s="1"/>
  <c r="F502" i="1" s="1"/>
  <c r="M171" i="1"/>
  <c r="M174" i="1"/>
  <c r="M403" i="1"/>
  <c r="M252" i="1"/>
  <c r="G252" i="1" s="1"/>
  <c r="F252" i="1" s="1"/>
  <c r="M485" i="1"/>
  <c r="G485" i="1" s="1"/>
  <c r="F485" i="1" s="1"/>
  <c r="M452" i="1"/>
  <c r="G452" i="1" s="1"/>
  <c r="F452" i="1" s="1"/>
  <c r="M420" i="1"/>
  <c r="G420" i="1" s="1"/>
  <c r="F420" i="1" s="1"/>
  <c r="M404" i="1"/>
  <c r="M346" i="1"/>
  <c r="G346" i="1" s="1"/>
  <c r="F346" i="1" s="1"/>
  <c r="M315" i="1"/>
  <c r="G315" i="1" s="1"/>
  <c r="F315" i="1" s="1"/>
  <c r="M367" i="1"/>
  <c r="M289" i="1"/>
  <c r="G289" i="1" s="1"/>
  <c r="F289" i="1" s="1"/>
  <c r="M261" i="1"/>
  <c r="G261" i="1" s="1"/>
  <c r="F261" i="1" s="1"/>
  <c r="M234" i="1"/>
  <c r="G234" i="1" s="1"/>
  <c r="F234" i="1" s="1"/>
  <c r="M194" i="1"/>
  <c r="G194" i="1" s="1"/>
  <c r="F194" i="1" s="1"/>
  <c r="M152" i="1"/>
  <c r="G152" i="1" s="1"/>
  <c r="F152" i="1" s="1"/>
  <c r="M129" i="1"/>
  <c r="M84" i="1"/>
  <c r="G84" i="1" s="1"/>
  <c r="F84" i="1" s="1"/>
  <c r="M38" i="1"/>
  <c r="G38" i="1" s="1"/>
  <c r="F38" i="1" s="1"/>
  <c r="M477" i="1"/>
  <c r="G477" i="1" s="1"/>
  <c r="F477" i="1" s="1"/>
  <c r="M283" i="1"/>
  <c r="M177" i="1"/>
  <c r="G177" i="1" s="1"/>
  <c r="F177" i="1" s="1"/>
  <c r="M7" i="1"/>
  <c r="G7" i="1" s="1"/>
  <c r="F7" i="1" s="1"/>
  <c r="M302" i="1"/>
  <c r="G302" i="1" s="1"/>
  <c r="F302" i="1" s="1"/>
  <c r="M480" i="1"/>
  <c r="G480" i="1" s="1"/>
  <c r="F480" i="1" s="1"/>
  <c r="M448" i="1"/>
  <c r="G448" i="1" s="1"/>
  <c r="F448" i="1" s="1"/>
  <c r="M418" i="1"/>
  <c r="G418" i="1" s="1"/>
  <c r="F418" i="1" s="1"/>
  <c r="M399" i="1"/>
  <c r="G399" i="1" s="1"/>
  <c r="F399" i="1" s="1"/>
  <c r="M344" i="1"/>
  <c r="G344" i="1" s="1"/>
  <c r="F344" i="1" s="1"/>
  <c r="M310" i="1"/>
  <c r="M363" i="1"/>
  <c r="M287" i="1"/>
  <c r="G287" i="1" s="1"/>
  <c r="F287" i="1" s="1"/>
  <c r="M257" i="1"/>
  <c r="G257" i="1" s="1"/>
  <c r="F257" i="1" s="1"/>
  <c r="M225" i="1"/>
  <c r="G225" i="1" s="1"/>
  <c r="F225" i="1" s="1"/>
  <c r="M190" i="1"/>
  <c r="G190" i="1" s="1"/>
  <c r="F190" i="1" s="1"/>
  <c r="M149" i="1"/>
  <c r="G149" i="1" s="1"/>
  <c r="F149" i="1" s="1"/>
  <c r="M124" i="1"/>
  <c r="M82" i="1"/>
  <c r="G82" i="1" s="1"/>
  <c r="F82" i="1" s="1"/>
  <c r="M34" i="1"/>
  <c r="G34" i="1" s="1"/>
  <c r="F34" i="1" s="1"/>
  <c r="M469" i="1"/>
  <c r="G469" i="1" s="1"/>
  <c r="F469" i="1" s="1"/>
  <c r="M333" i="1"/>
  <c r="G333" i="1" s="1"/>
  <c r="F333" i="1" s="1"/>
  <c r="M282" i="1"/>
  <c r="G282" i="1" s="1"/>
  <c r="F282" i="1" s="1"/>
  <c r="M217" i="1"/>
  <c r="G217" i="1" s="1"/>
  <c r="F217" i="1" s="1"/>
  <c r="M119" i="1"/>
  <c r="G119" i="1" s="1"/>
  <c r="F119" i="1" s="1"/>
  <c r="M28" i="1"/>
  <c r="G28" i="1" s="1"/>
  <c r="F28" i="1" s="1"/>
  <c r="M391" i="1"/>
  <c r="M67" i="1"/>
  <c r="M127" i="1"/>
  <c r="G127" i="1" s="1"/>
  <c r="F127" i="1" s="1"/>
  <c r="M300" i="1"/>
  <c r="M447" i="1"/>
  <c r="M509" i="1"/>
  <c r="G509" i="1" s="1"/>
  <c r="F509" i="1" s="1"/>
  <c r="M362" i="1"/>
  <c r="M497" i="1"/>
  <c r="M169" i="1"/>
  <c r="M441" i="1"/>
  <c r="G441" i="1" s="1"/>
  <c r="F441" i="1" s="1"/>
  <c r="M86" i="1"/>
  <c r="M510" i="1"/>
  <c r="M434" i="1"/>
  <c r="G434" i="1" s="1"/>
  <c r="F434" i="1" s="1"/>
  <c r="M332" i="1"/>
  <c r="G332" i="1" s="1"/>
  <c r="F332" i="1" s="1"/>
  <c r="M277" i="1"/>
  <c r="G277" i="1" s="1"/>
  <c r="F277" i="1" s="1"/>
  <c r="M176" i="1"/>
  <c r="G176" i="1" s="1"/>
  <c r="F176" i="1" s="1"/>
  <c r="M107" i="1"/>
  <c r="G107" i="1" s="1"/>
  <c r="F107" i="1" s="1"/>
  <c r="M443" i="1"/>
  <c r="G443" i="1" s="1"/>
  <c r="F443" i="1" s="1"/>
  <c r="M193" i="1"/>
  <c r="G193" i="1" s="1"/>
  <c r="F193" i="1" s="1"/>
  <c r="M172" i="1"/>
  <c r="M16" i="1"/>
  <c r="G16" i="1" s="1"/>
  <c r="F16" i="1" s="1"/>
  <c r="M386" i="1"/>
  <c r="M488" i="1"/>
  <c r="G488" i="1" s="1"/>
  <c r="F488" i="1" s="1"/>
  <c r="M51" i="1"/>
  <c r="M462" i="1"/>
  <c r="G462" i="1" s="1"/>
  <c r="F462" i="1" s="1"/>
  <c r="M354" i="1"/>
  <c r="G354" i="1" s="1"/>
  <c r="F354" i="1" s="1"/>
  <c r="M271" i="1"/>
  <c r="G271" i="1" s="1"/>
  <c r="F271" i="1" s="1"/>
  <c r="M162" i="1"/>
  <c r="G162" i="1" s="1"/>
  <c r="F162" i="1" s="1"/>
  <c r="M170" i="1"/>
  <c r="M245" i="1"/>
  <c r="G245" i="1" s="1"/>
  <c r="F245" i="1" s="1"/>
  <c r="M52" i="1"/>
  <c r="M226" i="1"/>
  <c r="G226" i="1" s="1"/>
  <c r="F226" i="1" s="1"/>
  <c r="M504" i="1"/>
  <c r="G504" i="1" s="1"/>
  <c r="F504" i="1" s="1"/>
  <c r="M89" i="1"/>
  <c r="M493" i="1"/>
  <c r="G493" i="1" s="1"/>
  <c r="F493" i="1" s="1"/>
  <c r="M408" i="1"/>
  <c r="G408" i="1" s="1"/>
  <c r="F408" i="1" s="1"/>
  <c r="M324" i="1"/>
  <c r="G324" i="1" s="1"/>
  <c r="F324" i="1" s="1"/>
  <c r="M269" i="1"/>
  <c r="G269" i="1" s="1"/>
  <c r="F269" i="1" s="1"/>
  <c r="M160" i="1"/>
  <c r="M494" i="1"/>
  <c r="G494" i="1" s="1"/>
  <c r="F494" i="1" s="1"/>
  <c r="M163" i="1"/>
  <c r="G163" i="1" s="1"/>
  <c r="F163" i="1" s="1"/>
  <c r="M40" i="1"/>
  <c r="M227" i="1"/>
  <c r="G227" i="1" s="1"/>
  <c r="F227" i="1" s="1"/>
  <c r="M85" i="1"/>
  <c r="M272" i="1"/>
  <c r="G272" i="1" s="1"/>
  <c r="F272" i="1" s="1"/>
  <c r="M96" i="1"/>
  <c r="G96" i="1" s="1"/>
  <c r="F96" i="1" s="1"/>
  <c r="M241" i="1"/>
  <c r="G241" i="1" s="1"/>
  <c r="F241" i="1" s="1"/>
  <c r="M39" i="1"/>
  <c r="G39" i="1" s="1"/>
  <c r="F39" i="1" s="1"/>
  <c r="M339" i="1"/>
  <c r="G339" i="1" s="1"/>
  <c r="F339" i="1" s="1"/>
  <c r="M478" i="1"/>
  <c r="G478" i="1" s="1"/>
  <c r="F478" i="1" s="1"/>
  <c r="M444" i="1"/>
  <c r="G444" i="1" s="1"/>
  <c r="F444" i="1" s="1"/>
  <c r="M417" i="1"/>
  <c r="G417" i="1" s="1"/>
  <c r="F417" i="1" s="1"/>
  <c r="M397" i="1"/>
  <c r="G397" i="1" s="1"/>
  <c r="F397" i="1" s="1"/>
  <c r="M343" i="1"/>
  <c r="M307" i="1"/>
  <c r="G307" i="1" s="1"/>
  <c r="F307" i="1" s="1"/>
  <c r="M361" i="1"/>
  <c r="M286" i="1"/>
  <c r="G286" i="1" s="1"/>
  <c r="F286" i="1" s="1"/>
  <c r="M255" i="1"/>
  <c r="G255" i="1" s="1"/>
  <c r="F255" i="1" s="1"/>
  <c r="M221" i="1"/>
  <c r="G221" i="1" s="1"/>
  <c r="F221" i="1" s="1"/>
  <c r="M188" i="1"/>
  <c r="G188" i="1" s="1"/>
  <c r="F188" i="1" s="1"/>
  <c r="M148" i="1"/>
  <c r="G148" i="1" s="1"/>
  <c r="F148" i="1" s="1"/>
  <c r="M120" i="1"/>
  <c r="G120" i="1" s="1"/>
  <c r="F120" i="1" s="1"/>
  <c r="M81" i="1"/>
  <c r="G81" i="1" s="1"/>
  <c r="F81" i="1" s="1"/>
  <c r="M32" i="1"/>
  <c r="M465" i="1"/>
  <c r="G465" i="1" s="1"/>
  <c r="F465" i="1" s="1"/>
  <c r="M329" i="1"/>
  <c r="G329" i="1" s="1"/>
  <c r="F329" i="1" s="1"/>
  <c r="M278" i="1"/>
  <c r="G278" i="1" s="1"/>
  <c r="F278" i="1" s="1"/>
  <c r="M213" i="1"/>
  <c r="G213" i="1" s="1"/>
  <c r="F213" i="1" s="1"/>
  <c r="M115" i="1"/>
  <c r="G115" i="1" s="1"/>
  <c r="F115" i="1" s="1"/>
  <c r="M24" i="1"/>
  <c r="G24" i="1" s="1"/>
  <c r="F24" i="1" s="1"/>
  <c r="M313" i="1"/>
  <c r="M60" i="1"/>
  <c r="M134" i="1"/>
  <c r="G134" i="1" s="1"/>
  <c r="F134" i="1" s="1"/>
  <c r="M463" i="1"/>
  <c r="G463" i="1" s="1"/>
  <c r="F463" i="1" s="1"/>
  <c r="M382" i="1"/>
  <c r="M468" i="1"/>
  <c r="G468" i="1" s="1"/>
  <c r="F468" i="1" s="1"/>
  <c r="M388" i="1"/>
  <c r="G388" i="1" s="1"/>
  <c r="F388" i="1" s="1"/>
  <c r="M297" i="1"/>
  <c r="G297" i="1" s="1"/>
  <c r="F297" i="1" s="1"/>
  <c r="M210" i="1"/>
  <c r="G210" i="1" s="1"/>
  <c r="F210" i="1" s="1"/>
  <c r="M66" i="1"/>
  <c r="G66" i="1" s="1"/>
  <c r="F66" i="1" s="1"/>
  <c r="M306" i="1"/>
  <c r="M6" i="1"/>
  <c r="M199" i="1"/>
  <c r="G199" i="1" s="1"/>
  <c r="F199" i="1" s="1"/>
  <c r="M49" i="1"/>
  <c r="M326" i="1"/>
  <c r="G326" i="1" s="1"/>
  <c r="F326" i="1" s="1"/>
  <c r="M138" i="1"/>
  <c r="G138" i="1" s="1"/>
  <c r="F138" i="1" s="1"/>
  <c r="M380" i="1"/>
  <c r="M123" i="1"/>
  <c r="M335" i="1"/>
  <c r="G335" i="1" s="1"/>
  <c r="F335" i="1" s="1"/>
  <c r="M233" i="1"/>
  <c r="G233" i="1" s="1"/>
  <c r="F233" i="1" s="1"/>
  <c r="M426" i="1"/>
  <c r="G426" i="1" s="1"/>
  <c r="F426" i="1" s="1"/>
  <c r="M375" i="1"/>
  <c r="M202" i="1"/>
  <c r="G202" i="1" s="1"/>
  <c r="F202" i="1" s="1"/>
  <c r="M54" i="1"/>
  <c r="M239" i="1"/>
  <c r="G239" i="1" s="1"/>
  <c r="F239" i="1" s="1"/>
  <c r="M117" i="1"/>
  <c r="M398" i="1"/>
  <c r="G398" i="1" s="1"/>
  <c r="F398" i="1" s="1"/>
  <c r="M360" i="1"/>
  <c r="M481" i="1"/>
  <c r="M429" i="1"/>
  <c r="G429" i="1" s="1"/>
  <c r="F429" i="1" s="1"/>
  <c r="M260" i="1"/>
  <c r="G260" i="1" s="1"/>
  <c r="F260" i="1" s="1"/>
  <c r="M276" i="1"/>
  <c r="G276" i="1" s="1"/>
  <c r="F276" i="1" s="1"/>
  <c r="M65" i="1"/>
  <c r="G65" i="1" s="1"/>
  <c r="F65" i="1" s="1"/>
  <c r="M402" i="1"/>
  <c r="G402" i="1" s="1"/>
  <c r="F402" i="1" s="1"/>
  <c r="M476" i="1"/>
  <c r="G476" i="1" s="1"/>
  <c r="F476" i="1" s="1"/>
  <c r="M442" i="1"/>
  <c r="G442" i="1" s="1"/>
  <c r="F442" i="1" s="1"/>
  <c r="M416" i="1"/>
  <c r="G416" i="1" s="1"/>
  <c r="F416" i="1" s="1"/>
  <c r="M395" i="1"/>
  <c r="G395" i="1" s="1"/>
  <c r="F395" i="1" s="1"/>
  <c r="M340" i="1"/>
  <c r="G340" i="1" s="1"/>
  <c r="F340" i="1" s="1"/>
  <c r="M303" i="1"/>
  <c r="G303" i="1" s="1"/>
  <c r="F303" i="1" s="1"/>
  <c r="M359" i="1"/>
  <c r="M285" i="1"/>
  <c r="G285" i="1" s="1"/>
  <c r="F285" i="1" s="1"/>
  <c r="M253" i="1"/>
  <c r="G253" i="1" s="1"/>
  <c r="F253" i="1" s="1"/>
  <c r="M218" i="1"/>
  <c r="G218" i="1" s="1"/>
  <c r="F218" i="1" s="1"/>
  <c r="M186" i="1"/>
  <c r="G186" i="1" s="1"/>
  <c r="F186" i="1" s="1"/>
  <c r="M147" i="1"/>
  <c r="G147" i="1" s="1"/>
  <c r="F147" i="1" s="1"/>
  <c r="M118" i="1"/>
  <c r="M80" i="1"/>
  <c r="M29" i="1"/>
  <c r="G29" i="1" s="1"/>
  <c r="F29" i="1" s="1"/>
  <c r="M461" i="1"/>
  <c r="G461" i="1" s="1"/>
  <c r="F461" i="1" s="1"/>
  <c r="M325" i="1"/>
  <c r="G325" i="1" s="1"/>
  <c r="F325" i="1" s="1"/>
  <c r="M274" i="1"/>
  <c r="G274" i="1" s="1"/>
  <c r="F274" i="1" s="1"/>
  <c r="M209" i="1"/>
  <c r="G209" i="1" s="1"/>
  <c r="F209" i="1" s="1"/>
  <c r="M106" i="1"/>
  <c r="G106" i="1" s="1"/>
  <c r="F106" i="1" s="1"/>
  <c r="M18" i="1"/>
  <c r="G18" i="1" s="1"/>
  <c r="F18" i="1" s="1"/>
  <c r="M305" i="1"/>
  <c r="M44" i="1"/>
  <c r="M156" i="1"/>
  <c r="M370" i="1"/>
  <c r="M479" i="1"/>
  <c r="G479" i="1" s="1"/>
  <c r="F479" i="1" s="1"/>
  <c r="M499" i="1"/>
  <c r="G499" i="1" s="1"/>
  <c r="F499" i="1" s="1"/>
  <c r="M167" i="1"/>
  <c r="M433" i="1"/>
  <c r="G433" i="1" s="1"/>
  <c r="F433" i="1" s="1"/>
  <c r="M412" i="1"/>
  <c r="G412" i="1" s="1"/>
  <c r="F412" i="1" s="1"/>
  <c r="M383" i="1"/>
  <c r="M247" i="1"/>
  <c r="G247" i="1" s="1"/>
  <c r="F247" i="1" s="1"/>
  <c r="M143" i="1"/>
  <c r="G143" i="1" s="1"/>
  <c r="F143" i="1" s="1"/>
  <c r="M17" i="1"/>
  <c r="G17" i="1" s="1"/>
  <c r="F17" i="1" s="1"/>
  <c r="M258" i="1"/>
  <c r="G258" i="1" s="1"/>
  <c r="F258" i="1" s="1"/>
  <c r="M77" i="1"/>
  <c r="G77" i="1" s="1"/>
  <c r="F77" i="1" s="1"/>
  <c r="M5" i="1"/>
  <c r="M501" i="1"/>
  <c r="G501" i="1" s="1"/>
  <c r="F501" i="1" s="1"/>
  <c r="M394" i="1"/>
  <c r="G394" i="1" s="1"/>
  <c r="F394" i="1" s="1"/>
  <c r="M495" i="1"/>
  <c r="G495" i="1" s="1"/>
  <c r="F495" i="1" s="1"/>
  <c r="M409" i="1"/>
  <c r="G409" i="1" s="1"/>
  <c r="F409" i="1" s="1"/>
  <c r="M294" i="1"/>
  <c r="G294" i="1" s="1"/>
  <c r="F294" i="1" s="1"/>
  <c r="M204" i="1"/>
  <c r="G204" i="1" s="1"/>
  <c r="F204" i="1" s="1"/>
  <c r="M100" i="1"/>
  <c r="G100" i="1" s="1"/>
  <c r="F100" i="1" s="1"/>
  <c r="M431" i="1"/>
  <c r="G431" i="1" s="1"/>
  <c r="F431" i="1" s="1"/>
  <c r="M68" i="1"/>
  <c r="M46" i="1"/>
  <c r="G46" i="1" s="1"/>
  <c r="F46" i="1" s="1"/>
  <c r="M195" i="1"/>
  <c r="G195" i="1" s="1"/>
  <c r="F195" i="1" s="1"/>
  <c r="M460" i="1"/>
  <c r="G460" i="1" s="1"/>
  <c r="F460" i="1" s="1"/>
  <c r="M352" i="1"/>
  <c r="G352" i="1" s="1"/>
  <c r="F352" i="1" s="1"/>
  <c r="M242" i="1"/>
  <c r="G242" i="1" s="1"/>
  <c r="F242" i="1" s="1"/>
  <c r="M98" i="1"/>
  <c r="G98" i="1" s="1"/>
  <c r="F98" i="1" s="1"/>
  <c r="M427" i="1"/>
  <c r="G427" i="1" s="1"/>
  <c r="F427" i="1" s="1"/>
  <c r="M64" i="1"/>
  <c r="G64" i="1" s="1"/>
  <c r="F64" i="1" s="1"/>
  <c r="M62" i="1"/>
  <c r="G62" i="1" s="1"/>
  <c r="F62" i="1" s="1"/>
  <c r="M505" i="1"/>
  <c r="G505" i="1" s="1"/>
  <c r="F505" i="1" s="1"/>
  <c r="M133" i="1"/>
  <c r="G133" i="1" s="1"/>
  <c r="F133" i="1" s="1"/>
  <c r="M166" i="1"/>
  <c r="M228" i="1"/>
  <c r="G228" i="1" s="1"/>
  <c r="F228" i="1" s="1"/>
  <c r="M492" i="1"/>
  <c r="G492" i="1" s="1"/>
  <c r="F492" i="1" s="1"/>
  <c r="M187" i="1"/>
  <c r="G187" i="1" s="1"/>
  <c r="F187" i="1" s="1"/>
  <c r="M512" i="1"/>
  <c r="G512" i="1" s="1"/>
  <c r="F512" i="1" s="1"/>
  <c r="M464" i="1"/>
  <c r="G464" i="1" s="1"/>
  <c r="F464" i="1" s="1"/>
  <c r="M430" i="1"/>
  <c r="G430" i="1" s="1"/>
  <c r="F430" i="1" s="1"/>
  <c r="M410" i="1"/>
  <c r="G410" i="1" s="1"/>
  <c r="F410" i="1" s="1"/>
  <c r="M355" i="1"/>
  <c r="G355" i="1" s="1"/>
  <c r="F355" i="1" s="1"/>
  <c r="M328" i="1"/>
  <c r="G328" i="1" s="1"/>
  <c r="F328" i="1" s="1"/>
  <c r="M379" i="1"/>
  <c r="M295" i="1"/>
  <c r="G295" i="1" s="1"/>
  <c r="F295" i="1" s="1"/>
  <c r="M273" i="1"/>
  <c r="G273" i="1" s="1"/>
  <c r="F273" i="1" s="1"/>
  <c r="M244" i="1"/>
  <c r="G244" i="1" s="1"/>
  <c r="F244" i="1" s="1"/>
  <c r="M206" i="1"/>
  <c r="G206" i="1" s="1"/>
  <c r="F206" i="1" s="1"/>
  <c r="M164" i="1"/>
  <c r="G164" i="1" s="1"/>
  <c r="F164" i="1" s="1"/>
  <c r="M141" i="1"/>
  <c r="M103" i="1"/>
  <c r="M61" i="1"/>
  <c r="M12" i="1"/>
  <c r="G12" i="1" s="1"/>
  <c r="F12" i="1" s="1"/>
  <c r="M435" i="1"/>
  <c r="G435" i="1" s="1"/>
  <c r="F435" i="1" s="1"/>
  <c r="M384" i="1"/>
  <c r="M250" i="1"/>
  <c r="G250" i="1" s="1"/>
  <c r="F250" i="1" s="1"/>
  <c r="M185" i="1"/>
  <c r="G185" i="1" s="1"/>
  <c r="F185" i="1" s="1"/>
  <c r="M70" i="1"/>
  <c r="G70" i="1" s="1"/>
  <c r="F70" i="1" s="1"/>
  <c r="M90" i="1"/>
  <c r="M35" i="1"/>
  <c r="G35" i="1" s="1"/>
  <c r="F35" i="1" s="1"/>
  <c r="M215" i="1"/>
  <c r="G215" i="1" s="1"/>
  <c r="F215" i="1" s="1"/>
  <c r="M319" i="1"/>
  <c r="G319" i="1" s="1"/>
  <c r="F319" i="1" s="1"/>
  <c r="M511" i="1"/>
  <c r="M503" i="1"/>
  <c r="G503" i="1" s="1"/>
  <c r="F503" i="1" s="1"/>
  <c r="M151" i="1"/>
  <c r="G151" i="1" s="1"/>
  <c r="F151" i="1" s="1"/>
  <c r="M220" i="1"/>
  <c r="G220" i="1" s="1"/>
  <c r="F220" i="1" s="1"/>
  <c r="M428" i="1"/>
  <c r="G428" i="1" s="1"/>
  <c r="F428" i="1" s="1"/>
  <c r="M377" i="1"/>
  <c r="M243" i="1"/>
  <c r="G243" i="1" s="1"/>
  <c r="F243" i="1" s="1"/>
  <c r="M56" i="1"/>
  <c r="G56" i="1" s="1"/>
  <c r="F56" i="1" s="1"/>
  <c r="M180" i="1"/>
  <c r="G180" i="1" s="1"/>
  <c r="F180" i="1" s="1"/>
  <c r="M475" i="1"/>
  <c r="G475" i="1" s="1"/>
  <c r="F475" i="1" s="1"/>
  <c r="M293" i="1"/>
  <c r="G293" i="1" s="1"/>
  <c r="F293" i="1" s="1"/>
  <c r="M137" i="1"/>
  <c r="G137" i="1" s="1"/>
  <c r="F137" i="1" s="1"/>
  <c r="M376" i="1"/>
  <c r="M231" i="1"/>
  <c r="G231" i="1" s="1"/>
  <c r="F231" i="1" s="1"/>
  <c r="M341" i="1"/>
  <c r="G341" i="1" s="1"/>
  <c r="F341" i="1" s="1"/>
  <c r="M37" i="1"/>
  <c r="G37" i="1" s="1"/>
  <c r="F37" i="1" s="1"/>
  <c r="M109" i="1"/>
  <c r="G109" i="1" s="1"/>
  <c r="F109" i="1" s="1"/>
  <c r="M507" i="1"/>
  <c r="G507" i="1" s="1"/>
  <c r="F507" i="1" s="1"/>
  <c r="L142" i="1"/>
  <c r="L143" i="1" s="1"/>
  <c r="L144" i="1" s="1"/>
  <c r="L145" i="1" s="1"/>
  <c r="L146" i="1" s="1"/>
  <c r="L147" i="1" s="1"/>
  <c r="L148" i="1" s="1"/>
  <c r="L149" i="1" s="1"/>
  <c r="L150" i="1" s="1"/>
  <c r="L151" i="1" s="1"/>
  <c r="L152" i="1" s="1"/>
  <c r="L153" i="1" s="1"/>
  <c r="L154" i="1" s="1"/>
  <c r="G425" i="1" l="1"/>
  <c r="R424" i="1"/>
  <c r="S424" i="1" s="1"/>
  <c r="V424" i="1"/>
  <c r="W424" i="1" s="1"/>
  <c r="X424" i="1"/>
  <c r="Y424" i="1" s="1"/>
  <c r="N425" i="1"/>
  <c r="N426" i="1" s="1"/>
  <c r="N427" i="1" s="1"/>
  <c r="N428" i="1" s="1"/>
  <c r="N429" i="1" s="1"/>
  <c r="N430" i="1" s="1"/>
  <c r="N431" i="1" s="1"/>
  <c r="N432" i="1" s="1"/>
  <c r="N433" i="1" s="1"/>
  <c r="N434" i="1" s="1"/>
  <c r="N435" i="1" s="1"/>
  <c r="N436" i="1" s="1"/>
  <c r="N437" i="1" s="1"/>
  <c r="N438" i="1" s="1"/>
  <c r="N439" i="1" s="1"/>
  <c r="N440" i="1" s="1"/>
  <c r="N441" i="1" s="1"/>
  <c r="N442" i="1" s="1"/>
  <c r="N443" i="1" s="1"/>
  <c r="N444" i="1" s="1"/>
  <c r="N445" i="1" s="1"/>
  <c r="P424" i="1"/>
  <c r="Q424" i="1" s="1"/>
  <c r="T424" i="1"/>
  <c r="U424" i="1" s="1"/>
  <c r="T155" i="1"/>
  <c r="U155" i="1" s="1"/>
  <c r="X155" i="1"/>
  <c r="Y155" i="1" s="1"/>
  <c r="V155" i="1"/>
  <c r="W155" i="1" s="1"/>
  <c r="R155" i="1"/>
  <c r="S155" i="1" s="1"/>
  <c r="N156" i="1"/>
  <c r="N157" i="1" s="1"/>
  <c r="N158" i="1" s="1"/>
  <c r="G156" i="1"/>
  <c r="P155" i="1"/>
  <c r="Q155" i="1" s="1"/>
  <c r="T51" i="1"/>
  <c r="U51" i="1" s="1"/>
  <c r="X51" i="1"/>
  <c r="Y51" i="1" s="1"/>
  <c r="P51" i="1"/>
  <c r="Q51" i="1" s="1"/>
  <c r="R51" i="1"/>
  <c r="S51" i="1" s="1"/>
  <c r="V51" i="1"/>
  <c r="W51" i="1" s="1"/>
  <c r="N52" i="1"/>
  <c r="N53" i="1" s="1"/>
  <c r="N54" i="1" s="1"/>
  <c r="N55" i="1" s="1"/>
  <c r="N56" i="1" s="1"/>
  <c r="N57" i="1" s="1"/>
  <c r="N58" i="1" s="1"/>
  <c r="V94" i="1"/>
  <c r="W94" i="1" s="1"/>
  <c r="N95" i="1"/>
  <c r="N96" i="1" s="1"/>
  <c r="N97" i="1" s="1"/>
  <c r="N98" i="1" s="1"/>
  <c r="N99" i="1" s="1"/>
  <c r="N100" i="1" s="1"/>
  <c r="N101" i="1" s="1"/>
  <c r="T94" i="1"/>
  <c r="U94" i="1" s="1"/>
  <c r="X94" i="1"/>
  <c r="Y94" i="1" s="1"/>
  <c r="R94" i="1"/>
  <c r="S94" i="1" s="1"/>
  <c r="P94" i="1"/>
  <c r="Q94" i="1" s="1"/>
  <c r="G95" i="1"/>
  <c r="X172" i="1"/>
  <c r="Y172" i="1" s="1"/>
  <c r="P172" i="1"/>
  <c r="Q172" i="1" s="1"/>
  <c r="G173" i="1"/>
  <c r="V172" i="1"/>
  <c r="W172" i="1" s="1"/>
  <c r="R172" i="1"/>
  <c r="S172" i="1" s="1"/>
  <c r="N173" i="1"/>
  <c r="N174" i="1" s="1"/>
  <c r="N175" i="1" s="1"/>
  <c r="N176" i="1" s="1"/>
  <c r="N177" i="1" s="1"/>
  <c r="N178" i="1" s="1"/>
  <c r="N179" i="1" s="1"/>
  <c r="N180" i="1" s="1"/>
  <c r="T172" i="1"/>
  <c r="U172" i="1" s="1"/>
  <c r="N314" i="1"/>
  <c r="N315" i="1" s="1"/>
  <c r="N316" i="1" s="1"/>
  <c r="G314" i="1"/>
  <c r="T313" i="1"/>
  <c r="U313" i="1" s="1"/>
  <c r="R313" i="1"/>
  <c r="S313" i="1" s="1"/>
  <c r="X313" i="1"/>
  <c r="Y313" i="1" s="1"/>
  <c r="V313" i="1"/>
  <c r="W313" i="1" s="1"/>
  <c r="P313" i="1"/>
  <c r="Q313" i="1" s="1"/>
  <c r="G118" i="1"/>
  <c r="V117" i="1"/>
  <c r="W117" i="1" s="1"/>
  <c r="R117" i="1"/>
  <c r="S117" i="1" s="1"/>
  <c r="T117" i="1"/>
  <c r="U117" i="1" s="1"/>
  <c r="X117" i="1"/>
  <c r="Y117" i="1" s="1"/>
  <c r="P117" i="1"/>
  <c r="Q117" i="1" s="1"/>
  <c r="N118" i="1"/>
  <c r="N119" i="1" s="1"/>
  <c r="N120" i="1" s="1"/>
  <c r="N121" i="1" s="1"/>
  <c r="N447" i="1"/>
  <c r="N448" i="1" s="1"/>
  <c r="N449" i="1" s="1"/>
  <c r="N450" i="1" s="1"/>
  <c r="N451" i="1" s="1"/>
  <c r="N452" i="1" s="1"/>
  <c r="N453" i="1" s="1"/>
  <c r="N454" i="1" s="1"/>
  <c r="N455" i="1" s="1"/>
  <c r="N456" i="1" s="1"/>
  <c r="N457" i="1" s="1"/>
  <c r="N458" i="1" s="1"/>
  <c r="N459" i="1" s="1"/>
  <c r="N460" i="1" s="1"/>
  <c r="N461" i="1" s="1"/>
  <c r="N462" i="1" s="1"/>
  <c r="N463" i="1" s="1"/>
  <c r="N464" i="1" s="1"/>
  <c r="N465" i="1" s="1"/>
  <c r="N466" i="1" s="1"/>
  <c r="N467" i="1" s="1"/>
  <c r="N468" i="1" s="1"/>
  <c r="N469" i="1" s="1"/>
  <c r="N470" i="1" s="1"/>
  <c r="N471" i="1" s="1"/>
  <c r="N472" i="1" s="1"/>
  <c r="N473" i="1" s="1"/>
  <c r="N474" i="1" s="1"/>
  <c r="N475" i="1" s="1"/>
  <c r="N476" i="1" s="1"/>
  <c r="N477" i="1" s="1"/>
  <c r="N478" i="1" s="1"/>
  <c r="N479" i="1" s="1"/>
  <c r="N480" i="1" s="1"/>
  <c r="T446" i="1"/>
  <c r="U446" i="1" s="1"/>
  <c r="P446" i="1"/>
  <c r="Q446" i="1" s="1"/>
  <c r="V446" i="1"/>
  <c r="W446" i="1" s="1"/>
  <c r="X446" i="1"/>
  <c r="Y446" i="1" s="1"/>
  <c r="G447" i="1"/>
  <c r="R446" i="1"/>
  <c r="S446" i="1" s="1"/>
  <c r="V223" i="1"/>
  <c r="R223" i="1"/>
  <c r="N224" i="1"/>
  <c r="N225" i="1" s="1"/>
  <c r="N226" i="1" s="1"/>
  <c r="N227" i="1" s="1"/>
  <c r="N228" i="1" s="1"/>
  <c r="N229" i="1" s="1"/>
  <c r="N230" i="1" s="1"/>
  <c r="N231" i="1" s="1"/>
  <c r="N232" i="1" s="1"/>
  <c r="N233" i="1" s="1"/>
  <c r="N234" i="1" s="1"/>
  <c r="N235" i="1" s="1"/>
  <c r="N236" i="1" s="1"/>
  <c r="N237" i="1" s="1"/>
  <c r="N238" i="1" s="1"/>
  <c r="N239" i="1" s="1"/>
  <c r="N240" i="1" s="1"/>
  <c r="N241" i="1" s="1"/>
  <c r="N242" i="1" s="1"/>
  <c r="N243" i="1" s="1"/>
  <c r="N244" i="1" s="1"/>
  <c r="N245" i="1" s="1"/>
  <c r="N246" i="1" s="1"/>
  <c r="N247" i="1" s="1"/>
  <c r="N248" i="1" s="1"/>
  <c r="N249" i="1" s="1"/>
  <c r="N250" i="1" s="1"/>
  <c r="N251" i="1" s="1"/>
  <c r="N252" i="1" s="1"/>
  <c r="N253" i="1" s="1"/>
  <c r="N254" i="1" s="1"/>
  <c r="N255" i="1" s="1"/>
  <c r="N256" i="1" s="1"/>
  <c r="N257" i="1" s="1"/>
  <c r="N258" i="1" s="1"/>
  <c r="N259" i="1" s="1"/>
  <c r="N260" i="1" s="1"/>
  <c r="N261" i="1" s="1"/>
  <c r="N262" i="1" s="1"/>
  <c r="N263" i="1" s="1"/>
  <c r="N264" i="1" s="1"/>
  <c r="N265" i="1" s="1"/>
  <c r="N266" i="1" s="1"/>
  <c r="N267" i="1" s="1"/>
  <c r="N268" i="1" s="1"/>
  <c r="N269" i="1" s="1"/>
  <c r="N270" i="1" s="1"/>
  <c r="N271" i="1" s="1"/>
  <c r="N272" i="1" s="1"/>
  <c r="N273" i="1" s="1"/>
  <c r="N274" i="1" s="1"/>
  <c r="N275" i="1" s="1"/>
  <c r="N276" i="1" s="1"/>
  <c r="N277" i="1" s="1"/>
  <c r="N278" i="1" s="1"/>
  <c r="N279" i="1" s="1"/>
  <c r="N280" i="1" s="1"/>
  <c r="N281" i="1" s="1"/>
  <c r="N282" i="1" s="1"/>
  <c r="P223" i="1"/>
  <c r="T223" i="1"/>
  <c r="X223" i="1"/>
  <c r="G224" i="1"/>
  <c r="N318" i="1"/>
  <c r="N319" i="1" s="1"/>
  <c r="N320" i="1" s="1"/>
  <c r="N321" i="1" s="1"/>
  <c r="N322" i="1" s="1"/>
  <c r="N323" i="1" s="1"/>
  <c r="N324" i="1" s="1"/>
  <c r="N325" i="1" s="1"/>
  <c r="N326" i="1" s="1"/>
  <c r="N327" i="1" s="1"/>
  <c r="N328" i="1" s="1"/>
  <c r="N329" i="1" s="1"/>
  <c r="N330" i="1" s="1"/>
  <c r="N331" i="1" s="1"/>
  <c r="N332" i="1" s="1"/>
  <c r="N333" i="1" s="1"/>
  <c r="N334" i="1" s="1"/>
  <c r="N335" i="1" s="1"/>
  <c r="N336" i="1" s="1"/>
  <c r="N337" i="1" s="1"/>
  <c r="N338" i="1" s="1"/>
  <c r="N339" i="1" s="1"/>
  <c r="N340" i="1" s="1"/>
  <c r="N341" i="1" s="1"/>
  <c r="T317" i="1"/>
  <c r="U317" i="1" s="1"/>
  <c r="G318" i="1"/>
  <c r="V317" i="1"/>
  <c r="W317" i="1" s="1"/>
  <c r="X317" i="1"/>
  <c r="Y317" i="1" s="1"/>
  <c r="P317" i="1"/>
  <c r="Q317" i="1" s="1"/>
  <c r="R317" i="1"/>
  <c r="S317" i="1" s="1"/>
  <c r="G53" i="1"/>
  <c r="V25" i="1"/>
  <c r="W25" i="1" s="1"/>
  <c r="P25" i="1"/>
  <c r="Q25" i="1" s="1"/>
  <c r="T25" i="1"/>
  <c r="U25" i="1" s="1"/>
  <c r="N26" i="1"/>
  <c r="N27" i="1" s="1"/>
  <c r="N28" i="1" s="1"/>
  <c r="N29" i="1" s="1"/>
  <c r="N30" i="1" s="1"/>
  <c r="R25" i="1"/>
  <c r="S25" i="1" s="1"/>
  <c r="X25" i="1"/>
  <c r="Y25" i="1" s="1"/>
  <c r="G26" i="1"/>
  <c r="P40" i="1"/>
  <c r="Q40" i="1" s="1"/>
  <c r="N41" i="1"/>
  <c r="N42" i="1" s="1"/>
  <c r="R40" i="1"/>
  <c r="S40" i="1" s="1"/>
  <c r="T40" i="1"/>
  <c r="U40" i="1" s="1"/>
  <c r="G41" i="1"/>
  <c r="X40" i="1"/>
  <c r="Y40" i="1" s="1"/>
  <c r="V40" i="1"/>
  <c r="W40" i="1" s="1"/>
  <c r="N68" i="1"/>
  <c r="N69" i="1" s="1"/>
  <c r="N70" i="1" s="1"/>
  <c r="N71" i="1" s="1"/>
  <c r="P67" i="1"/>
  <c r="Q67" i="1" s="1"/>
  <c r="X67" i="1"/>
  <c r="Y67" i="1" s="1"/>
  <c r="T67" i="1"/>
  <c r="U67" i="1" s="1"/>
  <c r="R67" i="1"/>
  <c r="S67" i="1" s="1"/>
  <c r="G68" i="1"/>
  <c r="V67" i="1"/>
  <c r="W67" i="1" s="1"/>
  <c r="X14" i="1"/>
  <c r="Y14" i="1" s="1"/>
  <c r="N15" i="1"/>
  <c r="N16" i="1" s="1"/>
  <c r="N17" i="1" s="1"/>
  <c r="N18" i="1" s="1"/>
  <c r="T14" i="1"/>
  <c r="U14" i="1" s="1"/>
  <c r="V14" i="1"/>
  <c r="W14" i="1" s="1"/>
  <c r="P14" i="1"/>
  <c r="Q14" i="1" s="1"/>
  <c r="R14" i="1"/>
  <c r="S14" i="1" s="1"/>
  <c r="G15" i="1"/>
  <c r="R72" i="1"/>
  <c r="S72" i="1" s="1"/>
  <c r="G73" i="1"/>
  <c r="V72" i="1"/>
  <c r="W72" i="1" s="1"/>
  <c r="T72" i="1"/>
  <c r="U72" i="1" s="1"/>
  <c r="N73" i="1"/>
  <c r="N74" i="1" s="1"/>
  <c r="N75" i="1" s="1"/>
  <c r="N76" i="1" s="1"/>
  <c r="N77" i="1" s="1"/>
  <c r="P72" i="1"/>
  <c r="Q72" i="1" s="1"/>
  <c r="X72" i="1"/>
  <c r="Y72" i="1" s="1"/>
  <c r="T60" i="1"/>
  <c r="N61" i="1"/>
  <c r="N62" i="1" s="1"/>
  <c r="N63" i="1" s="1"/>
  <c r="N64" i="1" s="1"/>
  <c r="N65" i="1" s="1"/>
  <c r="N66" i="1" s="1"/>
  <c r="R60" i="1"/>
  <c r="P60" i="1"/>
  <c r="G61" i="1"/>
  <c r="V60" i="1"/>
  <c r="X60" i="1"/>
  <c r="N167" i="1"/>
  <c r="N168" i="1" s="1"/>
  <c r="N169" i="1" s="1"/>
  <c r="N170" i="1" s="1"/>
  <c r="N171" i="1" s="1"/>
  <c r="P166" i="1"/>
  <c r="Q166" i="1" s="1"/>
  <c r="V166" i="1"/>
  <c r="W166" i="1" s="1"/>
  <c r="R166" i="1"/>
  <c r="S166" i="1" s="1"/>
  <c r="T166" i="1"/>
  <c r="U166" i="1" s="1"/>
  <c r="X166" i="1"/>
  <c r="Y166" i="1" s="1"/>
  <c r="X48" i="1"/>
  <c r="Y48" i="1" s="1"/>
  <c r="T48" i="1"/>
  <c r="U48" i="1" s="1"/>
  <c r="V48" i="1"/>
  <c r="W48" i="1" s="1"/>
  <c r="R48" i="1"/>
  <c r="S48" i="1" s="1"/>
  <c r="P48" i="1"/>
  <c r="Q48" i="1" s="1"/>
  <c r="N49" i="1"/>
  <c r="N50" i="1" s="1"/>
  <c r="M514" i="1"/>
  <c r="G300" i="1"/>
  <c r="V299" i="1"/>
  <c r="W299" i="1" s="1"/>
  <c r="R299" i="1"/>
  <c r="S299" i="1" s="1"/>
  <c r="N300" i="1"/>
  <c r="N301" i="1" s="1"/>
  <c r="N302" i="1" s="1"/>
  <c r="N303" i="1" s="1"/>
  <c r="P299" i="1"/>
  <c r="Q299" i="1" s="1"/>
  <c r="X299" i="1"/>
  <c r="Y299" i="1" s="1"/>
  <c r="T299" i="1"/>
  <c r="U299" i="1" s="1"/>
  <c r="G129" i="1"/>
  <c r="R128" i="1"/>
  <c r="S128" i="1" s="1"/>
  <c r="P128" i="1"/>
  <c r="Q128" i="1" s="1"/>
  <c r="T128" i="1"/>
  <c r="U128" i="1" s="1"/>
  <c r="X128" i="1"/>
  <c r="Y128" i="1" s="1"/>
  <c r="N129" i="1"/>
  <c r="N130" i="1" s="1"/>
  <c r="N131" i="1" s="1"/>
  <c r="N132" i="1" s="1"/>
  <c r="N133" i="1" s="1"/>
  <c r="N134" i="1" s="1"/>
  <c r="N135" i="1" s="1"/>
  <c r="N136" i="1" s="1"/>
  <c r="N137" i="1" s="1"/>
  <c r="N138" i="1" s="1"/>
  <c r="N139" i="1" s="1"/>
  <c r="V128" i="1"/>
  <c r="W128" i="1" s="1"/>
  <c r="N111" i="1"/>
  <c r="N112" i="1" s="1"/>
  <c r="N113" i="1" s="1"/>
  <c r="N114" i="1" s="1"/>
  <c r="N115" i="1" s="1"/>
  <c r="N116" i="1" s="1"/>
  <c r="R110" i="1"/>
  <c r="S110" i="1" s="1"/>
  <c r="X110" i="1"/>
  <c r="Y110" i="1" s="1"/>
  <c r="G111" i="1"/>
  <c r="T110" i="1"/>
  <c r="U110" i="1" s="1"/>
  <c r="V110" i="1"/>
  <c r="W110" i="1" s="1"/>
  <c r="P110" i="1"/>
  <c r="Q110" i="1" s="1"/>
  <c r="F351" i="1"/>
  <c r="G349" i="1"/>
  <c r="F349" i="1" s="1"/>
  <c r="N45" i="1"/>
  <c r="N46" i="1" s="1"/>
  <c r="N47" i="1" s="1"/>
  <c r="T44" i="1"/>
  <c r="X44" i="1"/>
  <c r="G45" i="1"/>
  <c r="P44" i="1"/>
  <c r="R44" i="1"/>
  <c r="V44" i="1"/>
  <c r="R31" i="1"/>
  <c r="S31" i="1" s="1"/>
  <c r="G32" i="1"/>
  <c r="T31" i="1"/>
  <c r="U31" i="1" s="1"/>
  <c r="V31" i="1"/>
  <c r="W31" i="1" s="1"/>
  <c r="N32" i="1"/>
  <c r="N33" i="1" s="1"/>
  <c r="N34" i="1" s="1"/>
  <c r="N35" i="1" s="1"/>
  <c r="N36" i="1" s="1"/>
  <c r="N37" i="1" s="1"/>
  <c r="N38" i="1" s="1"/>
  <c r="N39" i="1" s="1"/>
  <c r="P31" i="1"/>
  <c r="Q31" i="1" s="1"/>
  <c r="X31" i="1"/>
  <c r="Y31" i="1" s="1"/>
  <c r="V496" i="1"/>
  <c r="W496" i="1" s="1"/>
  <c r="N497" i="1"/>
  <c r="N498" i="1" s="1"/>
  <c r="N499" i="1" s="1"/>
  <c r="N500" i="1" s="1"/>
  <c r="N501" i="1" s="1"/>
  <c r="N502" i="1" s="1"/>
  <c r="N503" i="1" s="1"/>
  <c r="N504" i="1" s="1"/>
  <c r="N505" i="1" s="1"/>
  <c r="N506" i="1" s="1"/>
  <c r="N507" i="1" s="1"/>
  <c r="N508" i="1" s="1"/>
  <c r="N509" i="1" s="1"/>
  <c r="T496" i="1"/>
  <c r="U496" i="1" s="1"/>
  <c r="X496" i="1"/>
  <c r="Y496" i="1" s="1"/>
  <c r="G497" i="1"/>
  <c r="R496" i="1"/>
  <c r="S496" i="1" s="1"/>
  <c r="P496" i="1"/>
  <c r="Q496" i="1" s="1"/>
  <c r="T20" i="1"/>
  <c r="V20" i="1"/>
  <c r="N21" i="1"/>
  <c r="N22" i="1" s="1"/>
  <c r="N23" i="1" s="1"/>
  <c r="N24" i="1" s="1"/>
  <c r="X20" i="1"/>
  <c r="G21" i="1"/>
  <c r="R20" i="1"/>
  <c r="P20" i="1"/>
  <c r="R342" i="1"/>
  <c r="S342" i="1" s="1"/>
  <c r="P342" i="1"/>
  <c r="Q342" i="1" s="1"/>
  <c r="G343" i="1"/>
  <c r="N343" i="1"/>
  <c r="N344" i="1" s="1"/>
  <c r="N345" i="1" s="1"/>
  <c r="N346" i="1" s="1"/>
  <c r="N347" i="1" s="1"/>
  <c r="N348" i="1" s="1"/>
  <c r="X342" i="1"/>
  <c r="Y342" i="1" s="1"/>
  <c r="T342" i="1"/>
  <c r="U342" i="1" s="1"/>
  <c r="V342" i="1"/>
  <c r="W342" i="1" s="1"/>
  <c r="V89" i="1"/>
  <c r="W89" i="1" s="1"/>
  <c r="P89" i="1"/>
  <c r="Q89" i="1" s="1"/>
  <c r="X89" i="1"/>
  <c r="Y89" i="1" s="1"/>
  <c r="N90" i="1"/>
  <c r="T89" i="1"/>
  <c r="U89" i="1" s="1"/>
  <c r="R89" i="1"/>
  <c r="S89" i="1" s="1"/>
  <c r="G103" i="1"/>
  <c r="X102" i="1"/>
  <c r="Y102" i="1" s="1"/>
  <c r="N103" i="1"/>
  <c r="N104" i="1" s="1"/>
  <c r="N105" i="1" s="1"/>
  <c r="N106" i="1" s="1"/>
  <c r="N107" i="1" s="1"/>
  <c r="N108" i="1" s="1"/>
  <c r="N109" i="1" s="1"/>
  <c r="T102" i="1"/>
  <c r="U102" i="1" s="1"/>
  <c r="V102" i="1"/>
  <c r="W102" i="1" s="1"/>
  <c r="P102" i="1"/>
  <c r="Q102" i="1" s="1"/>
  <c r="R102" i="1"/>
  <c r="S102" i="1" s="1"/>
  <c r="N86" i="1"/>
  <c r="N87" i="1" s="1"/>
  <c r="N88" i="1" s="1"/>
  <c r="G86" i="1"/>
  <c r="V85" i="1"/>
  <c r="W85" i="1" s="1"/>
  <c r="P85" i="1"/>
  <c r="Q85" i="1" s="1"/>
  <c r="X85" i="1"/>
  <c r="Y85" i="1" s="1"/>
  <c r="T85" i="1"/>
  <c r="U85" i="1" s="1"/>
  <c r="R85" i="1"/>
  <c r="S85" i="1" s="1"/>
  <c r="X403" i="1"/>
  <c r="Y403" i="1" s="1"/>
  <c r="P403" i="1"/>
  <c r="Q403" i="1" s="1"/>
  <c r="T403" i="1"/>
  <c r="U403" i="1" s="1"/>
  <c r="V403" i="1"/>
  <c r="W403" i="1" s="1"/>
  <c r="G404" i="1"/>
  <c r="R403" i="1"/>
  <c r="S403" i="1" s="1"/>
  <c r="N404" i="1"/>
  <c r="N405" i="1" s="1"/>
  <c r="N406" i="1" s="1"/>
  <c r="N407" i="1" s="1"/>
  <c r="N408" i="1" s="1"/>
  <c r="N409" i="1" s="1"/>
  <c r="N410" i="1" s="1"/>
  <c r="N411" i="1" s="1"/>
  <c r="N412" i="1" s="1"/>
  <c r="N413" i="1" s="1"/>
  <c r="N414" i="1" s="1"/>
  <c r="N415" i="1" s="1"/>
  <c r="N416" i="1" s="1"/>
  <c r="N417" i="1" s="1"/>
  <c r="N418" i="1" s="1"/>
  <c r="N419" i="1" s="1"/>
  <c r="N420" i="1" s="1"/>
  <c r="N421" i="1" s="1"/>
  <c r="N422" i="1" s="1"/>
  <c r="N423" i="1" s="1"/>
  <c r="T391" i="1"/>
  <c r="U391" i="1" s="1"/>
  <c r="X391" i="1"/>
  <c r="Y391" i="1" s="1"/>
  <c r="G392" i="1"/>
  <c r="N392" i="1"/>
  <c r="N393" i="1" s="1"/>
  <c r="N394" i="1" s="1"/>
  <c r="N395" i="1" s="1"/>
  <c r="N396" i="1" s="1"/>
  <c r="N397" i="1" s="1"/>
  <c r="N398" i="1" s="1"/>
  <c r="N399" i="1" s="1"/>
  <c r="N400" i="1" s="1"/>
  <c r="N401" i="1" s="1"/>
  <c r="N402" i="1" s="1"/>
  <c r="R391" i="1"/>
  <c r="S391" i="1" s="1"/>
  <c r="V391" i="1"/>
  <c r="W391" i="1" s="1"/>
  <c r="P391" i="1"/>
  <c r="Q391" i="1" s="1"/>
  <c r="X283" i="1"/>
  <c r="Y283" i="1" s="1"/>
  <c r="G284" i="1"/>
  <c r="N284" i="1"/>
  <c r="N285" i="1" s="1"/>
  <c r="N286" i="1" s="1"/>
  <c r="N287" i="1" s="1"/>
  <c r="N288" i="1" s="1"/>
  <c r="N289" i="1" s="1"/>
  <c r="N290" i="1" s="1"/>
  <c r="N291" i="1" s="1"/>
  <c r="N292" i="1" s="1"/>
  <c r="N293" i="1" s="1"/>
  <c r="N294" i="1" s="1"/>
  <c r="N295" i="1" s="1"/>
  <c r="N296" i="1" s="1"/>
  <c r="N297" i="1" s="1"/>
  <c r="N298" i="1" s="1"/>
  <c r="R283" i="1"/>
  <c r="S283" i="1" s="1"/>
  <c r="P283" i="1"/>
  <c r="Q283" i="1" s="1"/>
  <c r="V283" i="1"/>
  <c r="W283" i="1" s="1"/>
  <c r="T283" i="1"/>
  <c r="U283" i="1" s="1"/>
  <c r="R305" i="1"/>
  <c r="V305" i="1"/>
  <c r="P305" i="1"/>
  <c r="N306" i="1"/>
  <c r="N307" i="1" s="1"/>
  <c r="N308" i="1" s="1"/>
  <c r="T305" i="1"/>
  <c r="X305" i="1"/>
  <c r="G306" i="1"/>
  <c r="P309" i="1"/>
  <c r="Q309" i="1" s="1"/>
  <c r="V309" i="1"/>
  <c r="W309" i="1" s="1"/>
  <c r="T309" i="1"/>
  <c r="U309" i="1" s="1"/>
  <c r="R309" i="1"/>
  <c r="S309" i="1" s="1"/>
  <c r="G310" i="1"/>
  <c r="X309" i="1"/>
  <c r="Y309" i="1" s="1"/>
  <c r="N310" i="1"/>
  <c r="N311" i="1" s="1"/>
  <c r="N312" i="1" s="1"/>
  <c r="G126" i="1"/>
  <c r="F126" i="1" s="1"/>
  <c r="N126" i="1"/>
  <c r="N127" i="1" s="1"/>
  <c r="T481" i="1"/>
  <c r="U481" i="1" s="1"/>
  <c r="P481" i="1"/>
  <c r="Q481" i="1" s="1"/>
  <c r="G482" i="1"/>
  <c r="R481" i="1"/>
  <c r="S481" i="1" s="1"/>
  <c r="V481" i="1"/>
  <c r="W481" i="1" s="1"/>
  <c r="N482" i="1"/>
  <c r="N483" i="1" s="1"/>
  <c r="N484" i="1" s="1"/>
  <c r="N485" i="1" s="1"/>
  <c r="N486" i="1" s="1"/>
  <c r="N487" i="1" s="1"/>
  <c r="N488" i="1" s="1"/>
  <c r="N489" i="1" s="1"/>
  <c r="N490" i="1" s="1"/>
  <c r="N491" i="1" s="1"/>
  <c r="N492" i="1" s="1"/>
  <c r="N493" i="1" s="1"/>
  <c r="N494" i="1" s="1"/>
  <c r="N495" i="1" s="1"/>
  <c r="X481" i="1"/>
  <c r="Y481" i="1" s="1"/>
  <c r="V123" i="1"/>
  <c r="T123" i="1"/>
  <c r="G124" i="1"/>
  <c r="X123" i="1"/>
  <c r="P123" i="1"/>
  <c r="N124" i="1"/>
  <c r="N125" i="1" s="1"/>
  <c r="R123" i="1"/>
  <c r="X510" i="1"/>
  <c r="Y510" i="1" s="1"/>
  <c r="G511" i="1"/>
  <c r="T510" i="1"/>
  <c r="U510" i="1" s="1"/>
  <c r="P510" i="1"/>
  <c r="Q510" i="1" s="1"/>
  <c r="N511" i="1"/>
  <c r="N512" i="1" s="1"/>
  <c r="R510" i="1"/>
  <c r="S510" i="1" s="1"/>
  <c r="V510" i="1"/>
  <c r="W510" i="1" s="1"/>
  <c r="G160" i="1"/>
  <c r="V159" i="1"/>
  <c r="W159" i="1" s="1"/>
  <c r="P159" i="1"/>
  <c r="Q159" i="1" s="1"/>
  <c r="X159" i="1"/>
  <c r="Y159" i="1" s="1"/>
  <c r="T159" i="1"/>
  <c r="U159" i="1" s="1"/>
  <c r="N160" i="1"/>
  <c r="N161" i="1" s="1"/>
  <c r="N162" i="1" s="1"/>
  <c r="N163" i="1" s="1"/>
  <c r="N164" i="1" s="1"/>
  <c r="N165" i="1" s="1"/>
  <c r="R159" i="1"/>
  <c r="S159" i="1" s="1"/>
  <c r="R79" i="1"/>
  <c r="G80" i="1"/>
  <c r="V79" i="1"/>
  <c r="P79" i="1"/>
  <c r="N80" i="1"/>
  <c r="N81" i="1" s="1"/>
  <c r="N82" i="1" s="1"/>
  <c r="N83" i="1" s="1"/>
  <c r="N84" i="1" s="1"/>
  <c r="X79" i="1"/>
  <c r="T79" i="1"/>
  <c r="G54" i="1"/>
  <c r="F54" i="1" s="1"/>
  <c r="G141" i="1"/>
  <c r="T140" i="1"/>
  <c r="U140" i="1" s="1"/>
  <c r="V140" i="1"/>
  <c r="W140" i="1" s="1"/>
  <c r="X140" i="1"/>
  <c r="Y140" i="1" s="1"/>
  <c r="P140" i="1"/>
  <c r="Q140" i="1" s="1"/>
  <c r="R140" i="1"/>
  <c r="S140" i="1" s="1"/>
  <c r="N141" i="1"/>
  <c r="N142" i="1" s="1"/>
  <c r="N143" i="1" s="1"/>
  <c r="N144" i="1" s="1"/>
  <c r="N145" i="1" s="1"/>
  <c r="N146" i="1" s="1"/>
  <c r="N147" i="1" s="1"/>
  <c r="N148" i="1" s="1"/>
  <c r="N149" i="1" s="1"/>
  <c r="N150" i="1" s="1"/>
  <c r="N151" i="1" s="1"/>
  <c r="N152" i="1" s="1"/>
  <c r="N153" i="1" s="1"/>
  <c r="N154" i="1" s="1"/>
  <c r="T5" i="1"/>
  <c r="U5" i="1" s="1"/>
  <c r="G6" i="1"/>
  <c r="P5" i="1"/>
  <c r="Q5" i="1" s="1"/>
  <c r="R5" i="1"/>
  <c r="S5" i="1" s="1"/>
  <c r="N6" i="1"/>
  <c r="N7" i="1" s="1"/>
  <c r="N8" i="1" s="1"/>
  <c r="N9" i="1" s="1"/>
  <c r="N10" i="1" s="1"/>
  <c r="N11" i="1" s="1"/>
  <c r="N12" i="1" s="1"/>
  <c r="N13" i="1" s="1"/>
  <c r="V5" i="1"/>
  <c r="W5" i="1" s="1"/>
  <c r="X5" i="1"/>
  <c r="Y5" i="1" s="1"/>
  <c r="V91" i="1"/>
  <c r="W91" i="1" s="1"/>
  <c r="X91" i="1"/>
  <c r="Y91" i="1" s="1"/>
  <c r="P91" i="1"/>
  <c r="Q91" i="1" s="1"/>
  <c r="R91" i="1"/>
  <c r="S91" i="1" s="1"/>
  <c r="N92" i="1"/>
  <c r="N93" i="1" s="1"/>
  <c r="G92" i="1"/>
  <c r="T91" i="1"/>
  <c r="U91" i="1" s="1"/>
  <c r="G182" i="1"/>
  <c r="V181" i="1"/>
  <c r="W181" i="1" s="1"/>
  <c r="N182" i="1"/>
  <c r="N183" i="1" s="1"/>
  <c r="N184" i="1" s="1"/>
  <c r="N185" i="1" s="1"/>
  <c r="N186" i="1" s="1"/>
  <c r="N187" i="1" s="1"/>
  <c r="N188" i="1" s="1"/>
  <c r="N189" i="1" s="1"/>
  <c r="N190" i="1" s="1"/>
  <c r="N191" i="1" s="1"/>
  <c r="N192" i="1" s="1"/>
  <c r="N193" i="1" s="1"/>
  <c r="N194" i="1" s="1"/>
  <c r="N195" i="1" s="1"/>
  <c r="N196" i="1" s="1"/>
  <c r="N197" i="1" s="1"/>
  <c r="N198" i="1" s="1"/>
  <c r="N199" i="1" s="1"/>
  <c r="N200" i="1" s="1"/>
  <c r="N201" i="1" s="1"/>
  <c r="N202" i="1" s="1"/>
  <c r="N203" i="1" s="1"/>
  <c r="N204" i="1" s="1"/>
  <c r="N205" i="1" s="1"/>
  <c r="N206" i="1" s="1"/>
  <c r="N207" i="1" s="1"/>
  <c r="N208" i="1" s="1"/>
  <c r="N209" i="1" s="1"/>
  <c r="N210" i="1" s="1"/>
  <c r="N211" i="1" s="1"/>
  <c r="N212" i="1" s="1"/>
  <c r="N213" i="1" s="1"/>
  <c r="N214" i="1" s="1"/>
  <c r="N215" i="1" s="1"/>
  <c r="N216" i="1" s="1"/>
  <c r="N217" i="1" s="1"/>
  <c r="N218" i="1" s="1"/>
  <c r="N219" i="1" s="1"/>
  <c r="N220" i="1" s="1"/>
  <c r="N221" i="1" s="1"/>
  <c r="X181" i="1"/>
  <c r="Y181" i="1" s="1"/>
  <c r="P181" i="1"/>
  <c r="Q181" i="1" s="1"/>
  <c r="R181" i="1"/>
  <c r="S181" i="1" s="1"/>
  <c r="T181" i="1"/>
  <c r="U181" i="1" s="1"/>
  <c r="R349" i="1"/>
  <c r="S349" i="1" s="1"/>
  <c r="P349" i="1"/>
  <c r="Q349" i="1" s="1"/>
  <c r="V349" i="1"/>
  <c r="W349" i="1" s="1"/>
  <c r="N350" i="1"/>
  <c r="N351" i="1" s="1"/>
  <c r="N352" i="1" s="1"/>
  <c r="N353" i="1" s="1"/>
  <c r="N354" i="1" s="1"/>
  <c r="N355" i="1" s="1"/>
  <c r="N356" i="1" s="1"/>
  <c r="N357" i="1" s="1"/>
  <c r="N358" i="1" s="1"/>
  <c r="N359" i="1" s="1"/>
  <c r="N360" i="1" s="1"/>
  <c r="N361" i="1" s="1"/>
  <c r="N362" i="1" s="1"/>
  <c r="N363" i="1" s="1"/>
  <c r="N364" i="1" s="1"/>
  <c r="N365" i="1" s="1"/>
  <c r="N366" i="1" s="1"/>
  <c r="N367" i="1" s="1"/>
  <c r="N368" i="1" s="1"/>
  <c r="N369" i="1" s="1"/>
  <c r="N370" i="1" s="1"/>
  <c r="N371" i="1" s="1"/>
  <c r="N372" i="1" s="1"/>
  <c r="N373" i="1" s="1"/>
  <c r="N374" i="1" s="1"/>
  <c r="N375" i="1" s="1"/>
  <c r="N376" i="1" s="1"/>
  <c r="N377" i="1" s="1"/>
  <c r="N378" i="1" s="1"/>
  <c r="N379" i="1" s="1"/>
  <c r="N380" i="1" s="1"/>
  <c r="N381" i="1" s="1"/>
  <c r="N382" i="1" s="1"/>
  <c r="N383" i="1" s="1"/>
  <c r="N384" i="1" s="1"/>
  <c r="N385" i="1" s="1"/>
  <c r="N386" i="1" s="1"/>
  <c r="N387" i="1" s="1"/>
  <c r="N388" i="1" s="1"/>
  <c r="N389" i="1" s="1"/>
  <c r="N390" i="1" s="1"/>
  <c r="T349" i="1"/>
  <c r="U349" i="1" s="1"/>
  <c r="X349" i="1"/>
  <c r="Y349" i="1" s="1"/>
  <c r="Y305" i="1" l="1"/>
  <c r="X304" i="1"/>
  <c r="Y304" i="1" s="1"/>
  <c r="V222" i="1"/>
  <c r="W222" i="1" s="1"/>
  <c r="W223" i="1"/>
  <c r="R78" i="1"/>
  <c r="S78" i="1" s="1"/>
  <c r="S79" i="1"/>
  <c r="P59" i="1"/>
  <c r="Q59" i="1" s="1"/>
  <c r="Q60" i="1"/>
  <c r="G25" i="1"/>
  <c r="F25" i="1" s="1"/>
  <c r="F26" i="1"/>
  <c r="Q123" i="1"/>
  <c r="P122" i="1"/>
  <c r="Q122" i="1" s="1"/>
  <c r="R59" i="1"/>
  <c r="S59" i="1" s="1"/>
  <c r="S60" i="1"/>
  <c r="F73" i="1"/>
  <c r="G72" i="1"/>
  <c r="F72" i="1" s="1"/>
  <c r="G223" i="1"/>
  <c r="F224" i="1"/>
  <c r="F447" i="1"/>
  <c r="G446" i="1"/>
  <c r="F446" i="1" s="1"/>
  <c r="F173" i="1"/>
  <c r="G172" i="1"/>
  <c r="F172" i="1" s="1"/>
  <c r="F182" i="1"/>
  <c r="G181" i="1"/>
  <c r="F181" i="1" s="1"/>
  <c r="T78" i="1"/>
  <c r="U78" i="1" s="1"/>
  <c r="U79" i="1"/>
  <c r="Y123" i="1"/>
  <c r="X122" i="1"/>
  <c r="Y122" i="1" s="1"/>
  <c r="G481" i="1"/>
  <c r="F481" i="1" s="1"/>
  <c r="F482" i="1"/>
  <c r="Q305" i="1"/>
  <c r="P304" i="1"/>
  <c r="Q304" i="1" s="1"/>
  <c r="G283" i="1"/>
  <c r="F283" i="1" s="1"/>
  <c r="F284" i="1"/>
  <c r="G342" i="1"/>
  <c r="F342" i="1" s="1"/>
  <c r="F343" i="1"/>
  <c r="W20" i="1"/>
  <c r="V19" i="1"/>
  <c r="V43" i="1"/>
  <c r="W43" i="1" s="1"/>
  <c r="W44" i="1"/>
  <c r="X222" i="1"/>
  <c r="Y222" i="1" s="1"/>
  <c r="Y223" i="1"/>
  <c r="F156" i="1"/>
  <c r="G155" i="1"/>
  <c r="F155" i="1" s="1"/>
  <c r="G79" i="1"/>
  <c r="F80" i="1"/>
  <c r="F61" i="1"/>
  <c r="G60" i="1"/>
  <c r="F392" i="1"/>
  <c r="G391" i="1"/>
  <c r="F391" i="1" s="1"/>
  <c r="Y20" i="1"/>
  <c r="X19" i="1"/>
  <c r="F129" i="1"/>
  <c r="G128" i="1"/>
  <c r="F128" i="1" s="1"/>
  <c r="F124" i="1"/>
  <c r="G123" i="1"/>
  <c r="T19" i="1"/>
  <c r="U19" i="1" s="1"/>
  <c r="U20" i="1"/>
  <c r="U60" i="1"/>
  <c r="T59" i="1"/>
  <c r="U59" i="1" s="1"/>
  <c r="G67" i="1"/>
  <c r="F67" i="1" s="1"/>
  <c r="F68" i="1"/>
  <c r="F314" i="1"/>
  <c r="G313" i="1"/>
  <c r="F313" i="1" s="1"/>
  <c r="F92" i="1"/>
  <c r="G91" i="1"/>
  <c r="F91" i="1" s="1"/>
  <c r="T122" i="1"/>
  <c r="U122" i="1" s="1"/>
  <c r="U123" i="1"/>
  <c r="S305" i="1"/>
  <c r="R304" i="1"/>
  <c r="S304" i="1" s="1"/>
  <c r="Q44" i="1"/>
  <c r="P43" i="1"/>
  <c r="Q43" i="1" s="1"/>
  <c r="P222" i="1"/>
  <c r="Q222" i="1" s="1"/>
  <c r="Q223" i="1"/>
  <c r="G94" i="1"/>
  <c r="F94" i="1" s="1"/>
  <c r="F95" i="1"/>
  <c r="R122" i="1"/>
  <c r="S122" i="1" s="1"/>
  <c r="S123" i="1"/>
  <c r="F86" i="1"/>
  <c r="G85" i="1"/>
  <c r="F85" i="1" s="1"/>
  <c r="F103" i="1"/>
  <c r="G102" i="1"/>
  <c r="F102" i="1" s="1"/>
  <c r="F21" i="1"/>
  <c r="G20" i="1"/>
  <c r="T43" i="1"/>
  <c r="U43" i="1" s="1"/>
  <c r="U44" i="1"/>
  <c r="U305" i="1"/>
  <c r="T304" i="1"/>
  <c r="U304" i="1" s="1"/>
  <c r="X78" i="1"/>
  <c r="Y78" i="1" s="1"/>
  <c r="Y79" i="1"/>
  <c r="W305" i="1"/>
  <c r="V304" i="1"/>
  <c r="W304" i="1" s="1"/>
  <c r="R43" i="1"/>
  <c r="S43" i="1" s="1"/>
  <c r="S44" i="1"/>
  <c r="G14" i="1"/>
  <c r="F14" i="1" s="1"/>
  <c r="F15" i="1"/>
  <c r="G40" i="1"/>
  <c r="F40" i="1" s="1"/>
  <c r="F41" i="1"/>
  <c r="P78" i="1"/>
  <c r="Q78" i="1" s="1"/>
  <c r="Q79" i="1"/>
  <c r="G510" i="1"/>
  <c r="F511" i="1"/>
  <c r="V122" i="1"/>
  <c r="W122" i="1" s="1"/>
  <c r="W123" i="1"/>
  <c r="F404" i="1"/>
  <c r="G403" i="1"/>
  <c r="F403" i="1" s="1"/>
  <c r="P19" i="1"/>
  <c r="Q20" i="1"/>
  <c r="G44" i="1"/>
  <c r="F45" i="1"/>
  <c r="X59" i="1"/>
  <c r="Y59" i="1" s="1"/>
  <c r="Y60" i="1"/>
  <c r="G117" i="1"/>
  <c r="F117" i="1" s="1"/>
  <c r="F118" i="1"/>
  <c r="G5" i="1"/>
  <c r="F5" i="1" s="1"/>
  <c r="F6" i="1"/>
  <c r="F141" i="1"/>
  <c r="G140" i="1"/>
  <c r="F140" i="1" s="1"/>
  <c r="F160" i="1"/>
  <c r="G159" i="1"/>
  <c r="F159" i="1" s="1"/>
  <c r="G299" i="1"/>
  <c r="F299" i="1" s="1"/>
  <c r="F300" i="1"/>
  <c r="F32" i="1"/>
  <c r="G31" i="1"/>
  <c r="F31" i="1" s="1"/>
  <c r="G51" i="1"/>
  <c r="F51" i="1" s="1"/>
  <c r="F53" i="1"/>
  <c r="F310" i="1"/>
  <c r="G309" i="1"/>
  <c r="F309" i="1" s="1"/>
  <c r="U223" i="1"/>
  <c r="T222" i="1"/>
  <c r="U222" i="1" s="1"/>
  <c r="W79" i="1"/>
  <c r="V78" i="1"/>
  <c r="W78" i="1" s="1"/>
  <c r="F306" i="1"/>
  <c r="G305" i="1"/>
  <c r="S20" i="1"/>
  <c r="R19" i="1"/>
  <c r="G496" i="1"/>
  <c r="F496" i="1" s="1"/>
  <c r="F497" i="1"/>
  <c r="Y44" i="1"/>
  <c r="X43" i="1"/>
  <c r="Y43" i="1" s="1"/>
  <c r="G110" i="1"/>
  <c r="F110" i="1" s="1"/>
  <c r="F111" i="1"/>
  <c r="V59" i="1"/>
  <c r="W59" i="1" s="1"/>
  <c r="W60" i="1"/>
  <c r="G317" i="1"/>
  <c r="F317" i="1" s="1"/>
  <c r="F318" i="1"/>
  <c r="R222" i="1"/>
  <c r="S222" i="1" s="1"/>
  <c r="S223" i="1"/>
  <c r="F425" i="1"/>
  <c r="G424" i="1"/>
  <c r="F424" i="1" s="1"/>
  <c r="G122" i="1" l="1"/>
  <c r="F122" i="1" s="1"/>
  <c r="F123" i="1"/>
  <c r="F44" i="1"/>
  <c r="G43" i="1"/>
  <c r="F43" i="1" s="1"/>
  <c r="F510" i="1"/>
  <c r="G514" i="1"/>
  <c r="W19" i="1"/>
  <c r="V2" i="1"/>
  <c r="F223" i="1"/>
  <c r="G222" i="1"/>
  <c r="F222" i="1" s="1"/>
  <c r="T2" i="1"/>
  <c r="G19" i="1"/>
  <c r="F19" i="1" s="1"/>
  <c r="F20" i="1"/>
  <c r="Q19" i="1"/>
  <c r="P2" i="1"/>
  <c r="Y19" i="1"/>
  <c r="X2" i="1"/>
  <c r="G59" i="1"/>
  <c r="F59" i="1" s="1"/>
  <c r="F60" i="1"/>
  <c r="G78" i="1"/>
  <c r="F78" i="1" s="1"/>
  <c r="F79" i="1"/>
  <c r="S19" i="1"/>
  <c r="R2" i="1"/>
  <c r="F305" i="1"/>
  <c r="G304" i="1"/>
  <c r="F304" i="1" s="1"/>
  <c r="F514" i="1" l="1"/>
  <c r="L518" i="1"/>
</calcChain>
</file>

<file path=xl/sharedStrings.xml><?xml version="1.0" encoding="utf-8"?>
<sst xmlns="http://schemas.openxmlformats.org/spreadsheetml/2006/main" count="1623" uniqueCount="1436">
  <si>
    <t>* Divisória Naval com Perfil em Aço - Painel Cego</t>
  </si>
  <si>
    <t>m2</t>
  </si>
  <si>
    <t>7.0</t>
  </si>
  <si>
    <t>7.1</t>
  </si>
  <si>
    <t>kg</t>
  </si>
  <si>
    <t>7.2</t>
  </si>
  <si>
    <t>* Cobertura em Telha de Concreto Tipo Tégula Clássica - Cor Cinza Pélora</t>
  </si>
  <si>
    <t>m²</t>
  </si>
  <si>
    <t>7.3</t>
  </si>
  <si>
    <t>* Cumeeira de Concreto para Telha Tipo Tégula, Cor Cinza Pérola - Inclusive Emboçamento</t>
  </si>
  <si>
    <t>m</t>
  </si>
  <si>
    <t>7.4</t>
  </si>
  <si>
    <t>* Manta  Térmica de Alumínio 3mm</t>
  </si>
  <si>
    <t>m²</t>
  </si>
  <si>
    <t>7.5</t>
  </si>
  <si>
    <t>* Fechamento para Telha Tégula - Passarinheira</t>
  </si>
  <si>
    <t>m</t>
  </si>
  <si>
    <t>7.6</t>
  </si>
  <si>
    <t>* Pintura em Estrutura Metálica de Cobertura</t>
  </si>
  <si>
    <t>m²</t>
  </si>
  <si>
    <t>7.7</t>
  </si>
  <si>
    <t>* Rufo de Chapa de Ferro Galvanizada - Corte Variavel</t>
  </si>
  <si>
    <t>m</t>
  </si>
  <si>
    <t>8.0</t>
  </si>
  <si>
    <t>Pavimentação</t>
  </si>
  <si>
    <t>8.1</t>
  </si>
  <si>
    <t>* Aterro Compactado Mecanicamente</t>
  </si>
  <si>
    <t>m³</t>
  </si>
  <si>
    <t>8.2</t>
  </si>
  <si>
    <t>* Lastro de Brita Apiolado Manualmente</t>
  </si>
  <si>
    <t>m³</t>
  </si>
  <si>
    <t>8.3</t>
  </si>
  <si>
    <t>* Lastro Impermeabilizado de Concreto não Estrutural - 10 cm</t>
  </si>
  <si>
    <t>m²</t>
  </si>
  <si>
    <t>8.4</t>
  </si>
  <si>
    <t>m²</t>
  </si>
  <si>
    <t>8.5</t>
  </si>
  <si>
    <t>m²</t>
  </si>
  <si>
    <t>8.6</t>
  </si>
  <si>
    <t>m</t>
  </si>
  <si>
    <t>8.7</t>
  </si>
  <si>
    <t>m²</t>
  </si>
  <si>
    <t>8.8</t>
  </si>
  <si>
    <t>m</t>
  </si>
  <si>
    <t>8.9</t>
  </si>
  <si>
    <t>m²</t>
  </si>
  <si>
    <t>8.10</t>
  </si>
  <si>
    <t>m</t>
  </si>
  <si>
    <t>8.11</t>
  </si>
  <si>
    <t>* Pavimentação em Paver, sobre Colchão de Areia 6 cm em Terreno Compactado</t>
  </si>
  <si>
    <t>m2</t>
  </si>
  <si>
    <t>8.12</t>
  </si>
  <si>
    <t>* Pavimentação de Lajota de Concreto 45 x 45 x 5 - Sobre Colchão de Areia e Rebaixo 1 cm em Cimento e Areia</t>
  </si>
  <si>
    <t>m2</t>
  </si>
  <si>
    <t>8.13</t>
  </si>
  <si>
    <t>m2</t>
  </si>
  <si>
    <t>8.14</t>
  </si>
  <si>
    <t>* Meio Fio de Concreto</t>
  </si>
  <si>
    <t>m</t>
  </si>
  <si>
    <t>8.15</t>
  </si>
  <si>
    <t>m</t>
  </si>
  <si>
    <t>9.0</t>
  </si>
  <si>
    <t>Revestimentos</t>
  </si>
  <si>
    <t>9.1</t>
  </si>
  <si>
    <t>* Chapisco em Parades, Argamassa Cimento/Areia - Traço 1:3, E=5 mm</t>
  </si>
  <si>
    <t>m²</t>
  </si>
  <si>
    <t>9.2</t>
  </si>
  <si>
    <t>* Emboço em Parades, Argamassa Mista - E=20 mm - Traço 1:2:9</t>
  </si>
  <si>
    <t>m²</t>
  </si>
  <si>
    <t>9.3</t>
  </si>
  <si>
    <t>xx</t>
  </si>
  <si>
    <r>
      <t>*</t>
    </r>
    <r>
      <rPr>
        <b/>
        <sz val="10"/>
        <rFont val="Arial"/>
        <family val="2"/>
      </rPr>
      <t>Externa</t>
    </r>
    <r>
      <rPr>
        <sz val="10"/>
        <rFont val="Arial"/>
        <family val="2"/>
      </rPr>
      <t xml:space="preserve"> Grafiato com fundo Selador </t>
    </r>
  </si>
  <si>
    <t>Paredes e Pilares</t>
  </si>
  <si>
    <r>
      <t>* Pintura</t>
    </r>
    <r>
      <rPr>
        <b/>
        <sz val="10"/>
        <rFont val="Arial"/>
        <family val="2"/>
      </rPr>
      <t xml:space="preserve"> Interna</t>
    </r>
    <r>
      <rPr>
        <sz val="10"/>
        <rFont val="Arial"/>
        <family val="2"/>
      </rPr>
      <t xml:space="preserve"> Latex Acrílica Fosca 3 Demãos - Paredes</t>
    </r>
  </si>
  <si>
    <t>Soleiras e Granitos</t>
  </si>
  <si>
    <t>Outras Pinturas</t>
  </si>
  <si>
    <t>Iluminação externa</t>
  </si>
  <si>
    <t>Gerais</t>
  </si>
  <si>
    <t>Distribuição</t>
  </si>
  <si>
    <t>* Reboco em Parades, Argamassa Areia/Cal Hidrat - Traço 1:3</t>
  </si>
  <si>
    <t>m²</t>
  </si>
  <si>
    <t>9.4</t>
  </si>
  <si>
    <t>* Cerâmica para Paredes Incepa Rafia Ivory, com Rejunte Creme - 25 x 33 cm</t>
  </si>
  <si>
    <t>m²</t>
  </si>
  <si>
    <t>9.5</t>
  </si>
  <si>
    <t>* Pastilha Porcelana 5 x 5 cm, Fixado com Argamassa Colorida</t>
  </si>
  <si>
    <t>m²</t>
  </si>
  <si>
    <t>9.6</t>
  </si>
  <si>
    <t>* Chapisco em Laje, Argamassa Cimento/Areia - Traço 1:3, E=5 mm</t>
  </si>
  <si>
    <t>m²</t>
  </si>
  <si>
    <t>9.7</t>
  </si>
  <si>
    <t>* Emboço Laje, Argamassa Mista - E=20 mm</t>
  </si>
  <si>
    <t>m²</t>
  </si>
  <si>
    <t>9.8</t>
  </si>
  <si>
    <t>* Reboco em Laje, Argamassa Cal/Areia - Traço 1:3, E=5 mm</t>
  </si>
  <si>
    <t>m²</t>
  </si>
  <si>
    <t>9.9</t>
  </si>
  <si>
    <t>m²</t>
  </si>
  <si>
    <t>9.10</t>
  </si>
  <si>
    <t>* Entarugamento de Itaúba para Forro Lambri Fixado em Tesoura</t>
  </si>
  <si>
    <t>m²</t>
  </si>
  <si>
    <t>9.11</t>
  </si>
  <si>
    <t>* Forro Lambri Itaúba de 1º, Sem Entarugamento - L=9 cm</t>
  </si>
  <si>
    <t>m²</t>
  </si>
  <si>
    <t>10.0</t>
  </si>
  <si>
    <t>Serralheria</t>
  </si>
  <si>
    <t>10.1</t>
  </si>
  <si>
    <t>m²</t>
  </si>
  <si>
    <t>10.2</t>
  </si>
  <si>
    <t>m²</t>
  </si>
  <si>
    <t>10.3</t>
  </si>
  <si>
    <t>m²</t>
  </si>
  <si>
    <t>10.4</t>
  </si>
  <si>
    <t>m²</t>
  </si>
  <si>
    <t>10.5</t>
  </si>
  <si>
    <t>m²</t>
  </si>
  <si>
    <t>10.6</t>
  </si>
  <si>
    <t>m²</t>
  </si>
  <si>
    <t>10.7</t>
  </si>
  <si>
    <t>* Gaiola para Ar Condicionado em Ferro Quadrado de 1/4"</t>
  </si>
  <si>
    <t>un</t>
  </si>
  <si>
    <t>11.0</t>
  </si>
  <si>
    <t>Carpintaria / Marcenaria</t>
  </si>
  <si>
    <t>11.1</t>
  </si>
  <si>
    <t>un</t>
  </si>
  <si>
    <t>11.2</t>
  </si>
  <si>
    <t>un</t>
  </si>
  <si>
    <t>11.3</t>
  </si>
  <si>
    <t>* Porta de Madeira Chapeada Ipê 80 x 210 cm com Caixilho e Vistas - Acabamento  Encerada</t>
  </si>
  <si>
    <t>un</t>
  </si>
  <si>
    <t>11.4</t>
  </si>
  <si>
    <t>un</t>
  </si>
  <si>
    <t>11.5</t>
  </si>
  <si>
    <t>un</t>
  </si>
  <si>
    <t>P4 - 0,90 x 2,10 (01 un) - Abrir</t>
  </si>
  <si>
    <t>11.6</t>
  </si>
  <si>
    <t>un</t>
  </si>
  <si>
    <t>12.0</t>
  </si>
  <si>
    <t>Ferragens</t>
  </si>
  <si>
    <t>12.1</t>
  </si>
  <si>
    <t>* Fechadura BWC Latão Cromado - Livre-Ocupado</t>
  </si>
  <si>
    <t>un</t>
  </si>
  <si>
    <t>12.2</t>
  </si>
  <si>
    <t>* Fechadura Externa com Tetra, Maçaneta MZ 270 Cromo Fosco e Rosetas</t>
  </si>
  <si>
    <t>un</t>
  </si>
  <si>
    <t>12.3</t>
  </si>
  <si>
    <t>* Fechadura Interna, Maçaneta MZ 270 Cromo Fosco e Roseta</t>
  </si>
  <si>
    <t>un</t>
  </si>
  <si>
    <t>12.4</t>
  </si>
  <si>
    <t>* Prendedor para portas em Latão Cromado</t>
  </si>
  <si>
    <t>un</t>
  </si>
  <si>
    <t>12.5</t>
  </si>
  <si>
    <t>* Pino de Segurança para Portas de Abrir ou Correr</t>
  </si>
  <si>
    <t>un</t>
  </si>
  <si>
    <t>12.6</t>
  </si>
  <si>
    <t>* Mola Hidráulica Aérea Dorma</t>
  </si>
  <si>
    <t>un</t>
  </si>
  <si>
    <t>13.0</t>
  </si>
  <si>
    <t>Vidraçaria</t>
  </si>
  <si>
    <t>13.1</t>
  </si>
  <si>
    <t>m²</t>
  </si>
  <si>
    <t>13.2</t>
  </si>
  <si>
    <t>m²</t>
  </si>
  <si>
    <t>13.3</t>
  </si>
  <si>
    <t>* Armário de Alumínio 50 x 70 com Espelho Cristal</t>
  </si>
  <si>
    <t>un</t>
  </si>
  <si>
    <t>13.4</t>
  </si>
  <si>
    <t>* Espelho Cristal 50 x 70 cm com Moldura em Alumínio</t>
  </si>
  <si>
    <t>un</t>
  </si>
  <si>
    <t>14.0</t>
  </si>
  <si>
    <t>Pintura</t>
  </si>
  <si>
    <t>14.1</t>
  </si>
  <si>
    <t>m²</t>
  </si>
  <si>
    <t>14.2</t>
  </si>
  <si>
    <t>m²</t>
  </si>
  <si>
    <t>14.3</t>
  </si>
  <si>
    <t>m2</t>
  </si>
  <si>
    <t>14.4</t>
  </si>
  <si>
    <t>m²</t>
  </si>
  <si>
    <t>14.5</t>
  </si>
  <si>
    <t>* Pintura em Esmalte Sintético 3 demãos em Mastro de Bandeira</t>
  </si>
  <si>
    <t>m²</t>
  </si>
  <si>
    <t>14.6</t>
  </si>
  <si>
    <t>* Pintura em Esmalte Sintético 3 demãos em Esquadrias de Ferro</t>
  </si>
  <si>
    <t>m²</t>
  </si>
  <si>
    <t>14.7</t>
  </si>
  <si>
    <t>* Pintura em Esmalte Sintético 3 demãos em Gradil e Portões</t>
  </si>
  <si>
    <t>m²</t>
  </si>
  <si>
    <t>14.8</t>
  </si>
  <si>
    <t>* Pintura em Esmalte Sintético 3 demãos em Corrimãos</t>
  </si>
  <si>
    <t>m²</t>
  </si>
  <si>
    <t>14.9</t>
  </si>
  <si>
    <t>* Pintura em Esmalte Sintético 3 demãos em Gaiolas para Ar Condicionado</t>
  </si>
  <si>
    <t>m²</t>
  </si>
  <si>
    <t>14.10</t>
  </si>
  <si>
    <t>* Pintura em Esmalte Sintético 3 demãos em Rufos</t>
  </si>
  <si>
    <t>m²</t>
  </si>
  <si>
    <t>14.11</t>
  </si>
  <si>
    <t>* Pintura em Esmalte Sintético 3 demãos em Grelha de Ferro</t>
  </si>
  <si>
    <t>m²</t>
  </si>
  <si>
    <t>14.12</t>
  </si>
  <si>
    <t>* Pintura em Esmalte Sintético 3 demãos em Quadros de Luz</t>
  </si>
  <si>
    <t>m²</t>
  </si>
  <si>
    <t>14.13</t>
  </si>
  <si>
    <t>* Pintura em Esmalte Sintético 3 demãos em Grade de Cela</t>
  </si>
  <si>
    <t>m²</t>
  </si>
  <si>
    <t>14.14</t>
  </si>
  <si>
    <t>* Pintura em Esmalte Sintético 3 demãos em Alçapão e Escada de Marinheiro</t>
  </si>
  <si>
    <t>m²</t>
  </si>
  <si>
    <t>14.15</t>
  </si>
  <si>
    <t>* Pintura em Esmalte Sintético 3 demãos em Forro de Madeira</t>
  </si>
  <si>
    <t>un</t>
  </si>
  <si>
    <t>15.0</t>
  </si>
  <si>
    <t>Diversos</t>
  </si>
  <si>
    <t>15.1</t>
  </si>
  <si>
    <t>* Gradil de Ferro - Diam 1/2" com Fundo Zarcão</t>
  </si>
  <si>
    <t>m²</t>
  </si>
  <si>
    <t>15.2</t>
  </si>
  <si>
    <t>* Portão em Grade de Ferro, Coluna Seção Quadrada de 50 x 50, Chapa 2 mm, Fundo Zarcão - 3,00 x 2,20</t>
  </si>
  <si>
    <t>un</t>
  </si>
  <si>
    <t>15.3</t>
  </si>
  <si>
    <t>* Portão em Grade de Ferro, Coluna Seção Quadrada de 50 x 50, Chapa 2 mm, Fundo Zarcão - 1,70 x 2,20</t>
  </si>
  <si>
    <t>un</t>
  </si>
  <si>
    <t>15.4</t>
  </si>
  <si>
    <t>m</t>
  </si>
  <si>
    <t>15.5</t>
  </si>
  <si>
    <t>m</t>
  </si>
  <si>
    <t>15.6</t>
  </si>
  <si>
    <t>* Mastro em Tubo Mansmann 1 1/2" com 6 mtrs - completo</t>
  </si>
  <si>
    <t>un</t>
  </si>
  <si>
    <t>15.7</t>
  </si>
  <si>
    <t>* Barra para Sanitário de Deficiênte - Articulada 60 cm</t>
  </si>
  <si>
    <t>un</t>
  </si>
  <si>
    <t>15.8</t>
  </si>
  <si>
    <t>* Barra para Sanitário de Deficiênte - Apoio 80 cm</t>
  </si>
  <si>
    <t>un</t>
  </si>
  <si>
    <t>15.9</t>
  </si>
  <si>
    <t>* Tampo de Vaso Sanitário para Deficiente</t>
  </si>
  <si>
    <t>un</t>
  </si>
  <si>
    <t>15.10</t>
  </si>
  <si>
    <t>* Tampo em Granito Verde Tunas - E=3 cm - Acabamento Reto</t>
  </si>
  <si>
    <t>m²</t>
  </si>
  <si>
    <t>Tampo de Granito para Guiches, Balcão de Cozinha e Sóculo da Cozinha</t>
  </si>
  <si>
    <t>15.11</t>
  </si>
  <si>
    <t>* Ventilador de Teto - 3 Pás</t>
  </si>
  <si>
    <t>un</t>
  </si>
  <si>
    <t>15.12</t>
  </si>
  <si>
    <t>* Bebedouro Elétrico Vertical de Pressão</t>
  </si>
  <si>
    <t>un</t>
  </si>
  <si>
    <t>15.13</t>
  </si>
  <si>
    <t>Divisorias Sanitarios e Salas</t>
  </si>
  <si>
    <t>* Banco em Concreto para Cela do Réu</t>
  </si>
  <si>
    <t>un</t>
  </si>
  <si>
    <t>15.14</t>
  </si>
  <si>
    <t>* Pavimentação em Paver, sobre Colchão de Areia 6 cm em Terreno Compactado</t>
  </si>
  <si>
    <t>m2</t>
  </si>
  <si>
    <t>15.15</t>
  </si>
  <si>
    <t>* Meio Fio de Concreto</t>
  </si>
  <si>
    <t>m</t>
  </si>
  <si>
    <t>15.16</t>
  </si>
  <si>
    <t>* Guia Rebaixada</t>
  </si>
  <si>
    <t>m</t>
  </si>
  <si>
    <t>15.17</t>
  </si>
  <si>
    <t>* Muro de Alvenaria de Tijolo 9 x 14 x 19 cm - (1/2 vez) - H=2,20m - Chapiscado e Emboçado</t>
  </si>
  <si>
    <t>m</t>
  </si>
  <si>
    <t>15.18</t>
  </si>
  <si>
    <t>* Reboco em Parades, Argamassa Areia/Cal Hidrat - Traço 1:3</t>
  </si>
  <si>
    <t>m²</t>
  </si>
  <si>
    <t>15.19</t>
  </si>
  <si>
    <t>* Pintura Latex Acrílica Fosca 3 Demãos - Muros</t>
  </si>
  <si>
    <t>m²</t>
  </si>
  <si>
    <t>15.20</t>
  </si>
  <si>
    <t>* Concreto Estrutural Usinado - FCK 20 MPA</t>
  </si>
  <si>
    <t>m³</t>
  </si>
  <si>
    <t>15.21</t>
  </si>
  <si>
    <t>* Aço CA 50/60</t>
  </si>
  <si>
    <t>kg</t>
  </si>
  <si>
    <t>15.22</t>
  </si>
  <si>
    <t xml:space="preserve">Total do Orçamento Com  BDI: </t>
  </si>
  <si>
    <t>Total Geral dos Encargos Sociais (120%)</t>
  </si>
  <si>
    <t>Total Custo da Mão de Obra sem Encargos Sociais</t>
  </si>
  <si>
    <t>* Forma de Madeira para Estruturas em Concreto Armado</t>
  </si>
  <si>
    <t>m2</t>
  </si>
  <si>
    <t>15.23</t>
  </si>
  <si>
    <t>* Balcão para Cozinha com Portinhola - Conforme Projeto</t>
  </si>
  <si>
    <t>un</t>
  </si>
  <si>
    <t>15.24</t>
  </si>
  <si>
    <t>* Guiche de Alumínio Anodizado com Vidro Jato de Areia - Conforme Detalhe</t>
  </si>
  <si>
    <t>un</t>
  </si>
  <si>
    <t>15.25</t>
  </si>
  <si>
    <t>* Balcão de Atendimento para Guiche - Conforme Projeto</t>
  </si>
  <si>
    <t>un</t>
  </si>
  <si>
    <t>15.26</t>
  </si>
  <si>
    <t>*</t>
  </si>
  <si>
    <t>* Estrutura Metálica de Cobertura Aço  - Chapa Dobrada e Laminada, e Parabolt</t>
  </si>
  <si>
    <r>
      <t xml:space="preserve">Estrutura </t>
    </r>
    <r>
      <rPr>
        <b/>
        <sz val="10"/>
        <rFont val="Arial"/>
        <family val="2"/>
      </rPr>
      <t xml:space="preserve"> Vigas, Pilares, Cintas, Lajes</t>
    </r>
  </si>
  <si>
    <r>
      <t xml:space="preserve">Cobertura  </t>
    </r>
    <r>
      <rPr>
        <b/>
        <sz val="10"/>
        <rFont val="Arial"/>
        <family val="2"/>
      </rPr>
      <t xml:space="preserve"> Fornecimento e Instalação de Estrutura de Cobertura, Inclusive Jateamento e Pintura</t>
    </r>
  </si>
  <si>
    <t>* Tampo para Pia com Rodapia em Granito Rosa Curitiba e Cuba  Simples - 1,60 x 0,60 m</t>
  </si>
  <si>
    <t>un</t>
  </si>
  <si>
    <t>15.27</t>
  </si>
  <si>
    <t>* Balcão de Pia para Tampo em Granito - Conforme Projeto</t>
  </si>
  <si>
    <t>un</t>
  </si>
  <si>
    <t>15.28</t>
  </si>
  <si>
    <t>* Fechamento de Vãos para onde não houverem Ar Condicionado</t>
  </si>
  <si>
    <t>un</t>
  </si>
  <si>
    <t>15.29</t>
  </si>
  <si>
    <t>* Grama em Leiva</t>
  </si>
  <si>
    <t>m²</t>
  </si>
  <si>
    <t>15.30</t>
  </si>
  <si>
    <t>* Canteiros</t>
  </si>
  <si>
    <t>vb</t>
  </si>
  <si>
    <t>15.31</t>
  </si>
  <si>
    <t>* Alçapão Chapa Metálico com fundo Zarcão - 60 x 60 cm</t>
  </si>
  <si>
    <t>un</t>
  </si>
  <si>
    <t>15.32</t>
  </si>
  <si>
    <t>* central completa de GLP</t>
  </si>
  <si>
    <t>vb</t>
  </si>
  <si>
    <t>15.33</t>
  </si>
  <si>
    <t>* Prateleira em Madeira de Cedrinho - Lixada, Cepilhada e Envernizada - Arquivo</t>
  </si>
  <si>
    <t>m</t>
  </si>
  <si>
    <t>15.34</t>
  </si>
  <si>
    <t>* Escada Tipo Marinheiro</t>
  </si>
  <si>
    <t>m</t>
  </si>
  <si>
    <t>15.35</t>
  </si>
  <si>
    <t>vb</t>
  </si>
  <si>
    <t>16.0</t>
  </si>
  <si>
    <t>Instalações de Esgoto e Águas Pluviais</t>
  </si>
  <si>
    <t>16.1</t>
  </si>
  <si>
    <t>* Tubo PVC Esgoto com Junta Elástica - Diam 40 mm</t>
  </si>
  <si>
    <t>m</t>
  </si>
  <si>
    <t>16.2</t>
  </si>
  <si>
    <t>* Tubo PVC Esgoto com Junta Elástica - Diam 50 mm</t>
  </si>
  <si>
    <t>m</t>
  </si>
  <si>
    <t>16.3</t>
  </si>
  <si>
    <t>* Tubo PVC Esgoto com Junta Elástica - Diam 75 mm</t>
  </si>
  <si>
    <t>un</t>
  </si>
  <si>
    <t>16.4</t>
  </si>
  <si>
    <t>* Tubo PVC Esgoto com Junta Elástica - Diam 100 mm</t>
  </si>
  <si>
    <t>un</t>
  </si>
  <si>
    <t>16.5</t>
  </si>
  <si>
    <t>* Tubo PVC Esgoto com Junta Elástica - Diam 150 mm</t>
  </si>
  <si>
    <t>un</t>
  </si>
  <si>
    <t>16.6</t>
  </si>
  <si>
    <t>* Joelho 45o PVC Esgoto com Junta Elástica - Diam 40 mm</t>
  </si>
  <si>
    <t>un</t>
  </si>
  <si>
    <t>16.7</t>
  </si>
  <si>
    <t>* Joelho 45o PVC Esgoto com Junta Elástica - Diam 50 mm</t>
  </si>
  <si>
    <t>un</t>
  </si>
  <si>
    <t>16.8</t>
  </si>
  <si>
    <t>* Joelho 45o PVC Esgoto com Junta Elástica - Diam 75 mm</t>
  </si>
  <si>
    <t>un</t>
  </si>
  <si>
    <t>16.9</t>
  </si>
  <si>
    <t>* Joelho 45o PVC Esgoto com Junta Elástica - Diam 100 mm</t>
  </si>
  <si>
    <t>un</t>
  </si>
  <si>
    <t>16.10</t>
  </si>
  <si>
    <t>* Joelho 90o PVC Esgoto com Junta Elástica - Diam 40 mm</t>
  </si>
  <si>
    <t>un</t>
  </si>
  <si>
    <t>16.11</t>
  </si>
  <si>
    <t>* Joelho 90o PVC Esgoto com Junta Elástica - Diam 50 mm</t>
  </si>
  <si>
    <t>un</t>
  </si>
  <si>
    <t>16.12</t>
  </si>
  <si>
    <t>* Joelho 90o PVC Esgoto com Junta Elástica - Diam 75 mm</t>
  </si>
  <si>
    <t>un</t>
  </si>
  <si>
    <t>16.13</t>
  </si>
  <si>
    <t>Acumul</t>
  </si>
  <si>
    <t>* Joelho 90o PVC Esgoto com Junta Elástica - Diam 100 mm</t>
  </si>
  <si>
    <t>un</t>
  </si>
  <si>
    <t>16.14</t>
  </si>
  <si>
    <t>* Joelho 90o PVC Esgoto com Junta Elástica - Diam 40 mm x 1 1/2"</t>
  </si>
  <si>
    <t>un</t>
  </si>
  <si>
    <t>16.15</t>
  </si>
  <si>
    <t>* Junção Simples PVC Esgoto com Junta Elástica - Diam 75 x 50 mm</t>
  </si>
  <si>
    <t>un</t>
  </si>
  <si>
    <t>16.16</t>
  </si>
  <si>
    <t>* Junção Simples PVC Esgoto com Junta Elástica - Diam 75 x 75 mm</t>
  </si>
  <si>
    <t>un</t>
  </si>
  <si>
    <t>16.17</t>
  </si>
  <si>
    <t>* Junção Simples PVC Esgoto com Junta Elástica - Diam 100 x 75 mm</t>
  </si>
  <si>
    <t>un</t>
  </si>
  <si>
    <t>16.18</t>
  </si>
  <si>
    <t>* Junção Simples PVC Esgoto com Junta Elástica - Diam 100 x 100 mm</t>
  </si>
  <si>
    <t>un</t>
  </si>
  <si>
    <t>16.19</t>
  </si>
  <si>
    <t>* Redução Excêntrica PVC Esgoto com Junta Elástica - Diam 75 x 50 mm</t>
  </si>
  <si>
    <t>un</t>
  </si>
  <si>
    <t>16.20</t>
  </si>
  <si>
    <t>* Redução Excêntrica PVC Esgoto com Junta Elástica - Diam 100 x 75 mm</t>
  </si>
  <si>
    <t>un</t>
  </si>
  <si>
    <t>16.21</t>
  </si>
  <si>
    <t>* Redução Excêntrica PVC Esgoto com Junta Elástica - Diam 150 x 100 mm</t>
  </si>
  <si>
    <t>un</t>
  </si>
  <si>
    <t>16.22</t>
  </si>
  <si>
    <t>* Luva PVC Esgoto com Junta Elástica - Diam 40 mm</t>
  </si>
  <si>
    <t>un</t>
  </si>
  <si>
    <t>16.23</t>
  </si>
  <si>
    <t>* Luva PVC Esgoto com Junta Elástica - Diam 50 mm</t>
  </si>
  <si>
    <t>un</t>
  </si>
  <si>
    <t>16.24</t>
  </si>
  <si>
    <t>* Luva PVC Esgoto com Junta Elástica - Diam 75 mm</t>
  </si>
  <si>
    <t>un</t>
  </si>
  <si>
    <t>16.25</t>
  </si>
  <si>
    <t>* Luva PVC Esgoto com Junta Elástica - Diam 100 mm</t>
  </si>
  <si>
    <t>un</t>
  </si>
  <si>
    <t>16.26</t>
  </si>
  <si>
    <t>* Luva PVC Esgoto com Junta Elástica - Diam 150 mm</t>
  </si>
  <si>
    <t>un</t>
  </si>
  <si>
    <t>16.27</t>
  </si>
  <si>
    <t>* Te Sanitário PVC Esgoto com Junta Elástica - Diam 75 x 75 mm</t>
  </si>
  <si>
    <t>un</t>
  </si>
  <si>
    <t>16.28</t>
  </si>
  <si>
    <t>* Te Sanitário PVC Esgoto com Junta Elástica - Diam 100 x 75 mm</t>
  </si>
  <si>
    <t>un</t>
  </si>
  <si>
    <t>16.29</t>
  </si>
  <si>
    <t>* Te Sanitário PVC Esgoto com Junta Elástica - Diam 100 x 50 mm</t>
  </si>
  <si>
    <t>un</t>
  </si>
  <si>
    <t>16.30</t>
  </si>
  <si>
    <t>* Te Sanitário PVC Esgoto com Junta Elástica - Diam 100 x 100 mm</t>
  </si>
  <si>
    <t>un</t>
  </si>
  <si>
    <t>16.31</t>
  </si>
  <si>
    <t>* Tubo Concreto Simples com Rejunte em Cimento/Areia 1:3 - Diam 30 cm</t>
  </si>
  <si>
    <t>m</t>
  </si>
  <si>
    <t>16.32</t>
  </si>
  <si>
    <t>Med.Execut</t>
  </si>
  <si>
    <t>Prevista</t>
  </si>
  <si>
    <t>* Tubo Concreto Simples com Rejunte em Cimento/Areia 1:3 - Diam 20 cm</t>
  </si>
  <si>
    <t>m</t>
  </si>
  <si>
    <t>16.33</t>
  </si>
  <si>
    <t>* Grelha e Porta Grelha em PVC Redondo Cromada - Diam 150 mm</t>
  </si>
  <si>
    <t>un</t>
  </si>
  <si>
    <t>16.34</t>
  </si>
  <si>
    <t>* Caixa Sifonada PVC Tampa Quadrada Cromada - Diam 150 x 150 x 50 mm</t>
  </si>
  <si>
    <t>un</t>
  </si>
  <si>
    <t>16.35</t>
  </si>
  <si>
    <t>* Caixa Sifonada PVC Tampa Quadrada Cromada - Diam 150 x 185 x 75 mm</t>
  </si>
  <si>
    <t>un</t>
  </si>
  <si>
    <t>16.36</t>
  </si>
  <si>
    <t>* Caixa Sifonada PVC Tampa Quadrada Cromada - Diam 250 x 230 x 75 mm</t>
  </si>
  <si>
    <t>un</t>
  </si>
  <si>
    <t>16.37</t>
  </si>
  <si>
    <t>un</t>
  </si>
  <si>
    <t>BLJ 1</t>
  </si>
  <si>
    <t>16.38</t>
  </si>
  <si>
    <t>un</t>
  </si>
  <si>
    <t>16.39</t>
  </si>
  <si>
    <t>un</t>
  </si>
  <si>
    <t>17.0</t>
  </si>
  <si>
    <t>Instalações de Água</t>
  </si>
  <si>
    <t>17.1</t>
  </si>
  <si>
    <t>* Tubo PVC Rigido Soldável Marron - Diam 25 mm (3/4")</t>
  </si>
  <si>
    <t>m</t>
  </si>
  <si>
    <t>17.2</t>
  </si>
  <si>
    <t>* Tubo PVC Rigido Soldável Marron - Diam 32 mm (1")</t>
  </si>
  <si>
    <t>m</t>
  </si>
  <si>
    <t>17.3</t>
  </si>
  <si>
    <t>* Tubo PVC Rigido Soldável Marron - Diam 50 mm (1 1/2")</t>
  </si>
  <si>
    <t>m</t>
  </si>
  <si>
    <t>17.4</t>
  </si>
  <si>
    <t>* Tubo PVC Rigido Soldável Marron - Diam 75 mm (2 1/2")</t>
  </si>
  <si>
    <t>m</t>
  </si>
  <si>
    <t>17.5</t>
  </si>
  <si>
    <t>* Tubo PVC Rigido Soldável Marron - Diam 85 mm (3")</t>
  </si>
  <si>
    <t>m</t>
  </si>
  <si>
    <t>17.6</t>
  </si>
  <si>
    <t>* Corrimão em Estrutura Tubular de Ferro h= 0,90 m - Diam 2"  Rampa e Passarela Plenario</t>
  </si>
  <si>
    <t>* Corrimão com Estrutura em Ferro Tubular - Diam 2", instalado em peitoril   escada</t>
  </si>
  <si>
    <t>* Porta de Madeira Chapeada Ipê 60 x 210 cm com Caixilho e Vistas - Acabamento  Encerada  abrir</t>
  </si>
  <si>
    <t>* Porta de Madeira Chapeada Ipê 70 x 210 cm com Caixilho e Vistas - Acabamento  Encerada  abrir</t>
  </si>
  <si>
    <t>* Porta Chapeada Revestica com Laminado Melamínico Gelo - 60 x 180 cm  abrir</t>
  </si>
  <si>
    <t>* Porta de Madeira Chapeada Ipê 90 x 210 cm com Caixilho e Vistas - Acabamento  Encerada   BWCS</t>
  </si>
  <si>
    <t>* Porta em Divisória Naval 0,80 x 2,10 com Fechadura e Ferragens   divisorias</t>
  </si>
  <si>
    <t>* Porta em Esquadria de Ferro Quadriculada - Montante 30x100 e Cantoneiras 22,5x22,5, fundo Zarcão  (PF1 - 3,40 x 2,40 (1 un) - Abrir 2 folhas+PF1 - 3,40 x 2,40 (1 un) - Abrir 2 folhas+PF6 - 2,20 x 2,20 (1 un) - Abrir 2 folhas)</t>
  </si>
  <si>
    <t>* Forro em Fibra Mineral, Modulado em 625 x 1250 x 16 mm - Branca c/entarugamento e instalado</t>
  </si>
  <si>
    <r>
      <t xml:space="preserve">* Piso Granito Verde Tunas, Assentado na Argamassa de Cimento/Areia - E=2 cm   </t>
    </r>
    <r>
      <rPr>
        <b/>
        <sz val="10"/>
        <rFont val="Arial"/>
        <family val="2"/>
      </rPr>
      <t xml:space="preserve"> Hall </t>
    </r>
  </si>
  <si>
    <r>
      <t xml:space="preserve">* Soleira em Granito Verde Tunas, Esp 3 cm, Fixado Argamassa Mista - L=20 cm   </t>
    </r>
    <r>
      <rPr>
        <b/>
        <sz val="10"/>
        <rFont val="Arial"/>
        <family val="2"/>
      </rPr>
      <t xml:space="preserve"> Portas</t>
    </r>
  </si>
  <si>
    <r>
      <t xml:space="preserve">* Piso Granito Verde Tunas, Assentado na Argamassa de Cimento/Areia - E=2 cm </t>
    </r>
    <r>
      <rPr>
        <b/>
        <sz val="10"/>
        <rFont val="Arial"/>
        <family val="2"/>
      </rPr>
      <t xml:space="preserve"> base Pilares</t>
    </r>
  </si>
  <si>
    <r>
      <t xml:space="preserve">* Espelho de Escada em Imbuia com Até 20 cm de Largura   </t>
    </r>
    <r>
      <rPr>
        <b/>
        <sz val="10"/>
        <rFont val="Arial"/>
        <family val="2"/>
      </rPr>
      <t>Salão Juri</t>
    </r>
  </si>
  <si>
    <r>
      <t xml:space="preserve">* Pavimentação em Blocret, sobre Colchão de Areia 6 cm em Terreno Compactado   </t>
    </r>
    <r>
      <rPr>
        <b/>
        <sz val="10"/>
        <rFont val="Arial"/>
        <family val="2"/>
      </rPr>
      <t>Estacionamento</t>
    </r>
  </si>
  <si>
    <t xml:space="preserve">* Canaleta de Concreto Simples com Rejunte em Cimento/Areia 1:3 - Diam 30 cm </t>
  </si>
  <si>
    <t>Pav. Interna</t>
  </si>
  <si>
    <t>Pav. Externa</t>
  </si>
  <si>
    <t>* Vidro 4 mm Jateado Totalmente  (J3 - 0,80 x 1,40 (18 un) - Basculante+J4 - 0,80  x 1,70 (01 un) - Basculante / Veneziana)</t>
  </si>
  <si>
    <r>
      <t>* Janela em Esquadria de Ferro Quadriculada - Montante 30x50 e Cantoneiras 22,5x22,5, fundo Zarcão- (</t>
    </r>
    <r>
      <rPr>
        <b/>
        <sz val="10"/>
        <rFont val="Arial"/>
        <family val="2"/>
      </rPr>
      <t>J1</t>
    </r>
    <r>
      <rPr>
        <sz val="10"/>
        <rFont val="Arial"/>
        <family val="2"/>
      </rPr>
      <t xml:space="preserve"> - 2,40 x 1,40 (11 un) - Basculante / Fixo+J2 - 2,00 x 1,40 (14 un) - Basculante / Fixo+</t>
    </r>
    <r>
      <rPr>
        <b/>
        <sz val="10"/>
        <rFont val="Arial"/>
        <family val="2"/>
      </rPr>
      <t>J3</t>
    </r>
    <r>
      <rPr>
        <sz val="10"/>
        <rFont val="Arial"/>
        <family val="2"/>
      </rPr>
      <t xml:space="preserve"> - 0,80 x 1,40 (18 un) - Basculante+</t>
    </r>
    <r>
      <rPr>
        <b/>
        <sz val="10"/>
        <rFont val="Arial"/>
        <family val="2"/>
      </rPr>
      <t>J5</t>
    </r>
    <r>
      <rPr>
        <sz val="10"/>
        <rFont val="Arial"/>
        <family val="2"/>
      </rPr>
      <t xml:space="preserve"> - 2,60 x 2,00 (01 un) - Basculante / Fixo+</t>
    </r>
    <r>
      <rPr>
        <b/>
        <sz val="10"/>
        <rFont val="Arial"/>
        <family val="2"/>
      </rPr>
      <t>J6</t>
    </r>
    <r>
      <rPr>
        <sz val="10"/>
        <rFont val="Arial"/>
        <family val="2"/>
      </rPr>
      <t xml:space="preserve"> - 4,00 x 2,20 (02 un) - Basculante / Fixo)</t>
    </r>
  </si>
  <si>
    <r>
      <t xml:space="preserve">* Esquadria de Chapa Dobrada com Fundo Zarção - Tipo Veneziana   </t>
    </r>
    <r>
      <rPr>
        <b/>
        <sz val="10"/>
        <rFont val="Arial"/>
        <family val="2"/>
      </rPr>
      <t>J4</t>
    </r>
    <r>
      <rPr>
        <sz val="10"/>
        <rFont val="Arial"/>
        <family val="2"/>
      </rPr>
      <t xml:space="preserve"> - 0,80 x 1,70 (01 un) - Basculante / Veneziana</t>
    </r>
  </si>
  <si>
    <r>
      <t xml:space="preserve">* Porta em Esquadrias de Ferro - Chapa 14 ( </t>
    </r>
    <r>
      <rPr>
        <b/>
        <sz val="10"/>
        <rFont val="Arial"/>
        <family val="2"/>
      </rPr>
      <t>PF3</t>
    </r>
    <r>
      <rPr>
        <sz val="10"/>
        <rFont val="Arial"/>
        <family val="2"/>
      </rPr>
      <t xml:space="preserve"> - 0,85 x 2,10 (1 un) +</t>
    </r>
    <r>
      <rPr>
        <b/>
        <sz val="10"/>
        <rFont val="Arial"/>
        <family val="2"/>
      </rPr>
      <t>PF4</t>
    </r>
    <r>
      <rPr>
        <sz val="10"/>
        <rFont val="Arial"/>
        <family val="2"/>
      </rPr>
      <t xml:space="preserve"> - 0,85 x 2,10 (1 un))</t>
    </r>
  </si>
  <si>
    <r>
      <t xml:space="preserve">* Grade de Ferro Secção Chata Retangular 1/4" para Proteção   </t>
    </r>
    <r>
      <rPr>
        <b/>
        <sz val="10"/>
        <rFont val="Arial"/>
        <family val="2"/>
      </rPr>
      <t>GR1</t>
    </r>
    <r>
      <rPr>
        <sz val="10"/>
        <rFont val="Arial"/>
        <family val="2"/>
      </rPr>
      <t xml:space="preserve"> - 0,80 x 1,40 (02 um</t>
    </r>
  </si>
  <si>
    <r>
      <t xml:space="preserve">* Grade de Ferro Tipo Cela com Portão de 0,80 x 2,10 h - Fundo Zarcão  </t>
    </r>
    <r>
      <rPr>
        <b/>
        <sz val="10"/>
        <rFont val="Arial"/>
        <family val="2"/>
      </rPr>
      <t>PF5</t>
    </r>
    <r>
      <rPr>
        <sz val="10"/>
        <rFont val="Arial"/>
        <family val="2"/>
      </rPr>
      <t xml:space="preserve"> - 2,00 x 3,00 (01 un) - com Portão</t>
    </r>
  </si>
  <si>
    <t>* Vidro 4 mm Cristal Incolor -( J1 - 2,40 x 1,40 (11 un) - Basculante / Fixo+J2 - 2,00 x 1,40 (14 un) - Basculante / Fixo+J2 - 2,00 x 1,40 (14 un) - Basculante / Fixo+J5 - 2,60 x 2,00 (01 un) - Basculante / Fixo+J6 - 4,00 x 2,20 (02 un) - Basculante / Fixo+PF1 - 3,40 x 2,40 (01 un) - Abrir 2 folhas+PF2 - 1,65 x 2,40 (03 un) - Abrir 2 folhas+PF3 - 1,00 x 0,85 (01 un) - Abrir 1 folha+PF6 - 2,20 x 2,20 (01 un) - Abrir 2 folhas</t>
  </si>
  <si>
    <t>* Massa Acrílica e Selador em Paredes e Laje Área de Laje Interna = 666,15 m², Área de Beiral = 200,65 m², H do Beiral = 135,49 m²</t>
  </si>
  <si>
    <r>
      <t>* Pintura</t>
    </r>
    <r>
      <rPr>
        <b/>
        <sz val="10"/>
        <rFont val="Arial"/>
        <family val="2"/>
      </rPr>
      <t xml:space="preserve"> Interna</t>
    </r>
    <r>
      <rPr>
        <sz val="10"/>
        <rFont val="Arial"/>
        <family val="2"/>
      </rPr>
      <t xml:space="preserve">  Latex Acrílica Fosca 3 Demãos - Laje</t>
    </r>
  </si>
  <si>
    <t>Pinntura Interna e Externa  Latex acril e grafiato</t>
  </si>
  <si>
    <t>* Rampa de Concreto  com malha de ferro</t>
  </si>
  <si>
    <r>
      <t>Luminárias</t>
    </r>
    <r>
      <rPr>
        <sz val="10"/>
        <rFont val="Arial"/>
        <family val="2"/>
      </rPr>
      <t xml:space="preserve"> da Ilumini ou similar, com Aletas e Refletor em Alum Polido, Lâmp Phillips ou similar, Reator Elet de Alto Rendimento</t>
    </r>
  </si>
  <si>
    <t>* Adaptador Soldável Flange Livre para Calha d`água PVC Marrom 32 mm</t>
  </si>
  <si>
    <t>un</t>
  </si>
  <si>
    <t>17.7</t>
  </si>
  <si>
    <t>* Adaptador Soldável Flange Livre para Calha d`água PVC Marrom 50 mm</t>
  </si>
  <si>
    <t>un</t>
  </si>
  <si>
    <t>17.8</t>
  </si>
  <si>
    <t>* Adaptador Soldável Flange Livre para Calha d`água PVC Marrom 60 mm</t>
  </si>
  <si>
    <t>un</t>
  </si>
  <si>
    <t>17.9</t>
  </si>
  <si>
    <t>* Adaptador Soldável Flange Livre para Calha d`água PVC Marrom 85 mm</t>
  </si>
  <si>
    <t>un</t>
  </si>
  <si>
    <t>17.10</t>
  </si>
  <si>
    <t>* Adaptador Soldável para registro Curto Marron 25 mm</t>
  </si>
  <si>
    <t>un</t>
  </si>
  <si>
    <t>17.11</t>
  </si>
  <si>
    <t>* Adaptador Soldável para registro Curto Marron 32 mm</t>
  </si>
  <si>
    <t>un</t>
  </si>
  <si>
    <t>17.12</t>
  </si>
  <si>
    <t>* Adaptador Soldável para registro Curto Marron 50 mm</t>
  </si>
  <si>
    <t>un</t>
  </si>
  <si>
    <t>17.13</t>
  </si>
  <si>
    <t>* Adaptador Soldável para registro Curto Marron 75 mm</t>
  </si>
  <si>
    <t>un</t>
  </si>
  <si>
    <t>17.14</t>
  </si>
  <si>
    <t>* Adaptador Soldável para registro Curto Marron 85 mm</t>
  </si>
  <si>
    <t>un</t>
  </si>
  <si>
    <t>17.15</t>
  </si>
  <si>
    <t>* Bucha Redução Curta PVC Rigido Soldável Marron - Diam 32 x 25 mm</t>
  </si>
  <si>
    <t>un</t>
  </si>
  <si>
    <t>17.16</t>
  </si>
  <si>
    <t>* Bucha Redução Longa PVC Rigido Soldável Marron - Diam 50 x 32 mm</t>
  </si>
  <si>
    <t>un</t>
  </si>
  <si>
    <t>17.17</t>
  </si>
  <si>
    <t>* Bucha Redução Longa PVC Rigido Soldável Marron - Diam 60 x 32 mm</t>
  </si>
  <si>
    <t>un</t>
  </si>
  <si>
    <t>17.18</t>
  </si>
  <si>
    <t>* Bucha Redução Curta PVC Rigido Soldável Marron - Diam 75 x 60 mm</t>
  </si>
  <si>
    <t>un</t>
  </si>
  <si>
    <t>17.19</t>
  </si>
  <si>
    <t>* Bucha Redução Longa PVC Rigido Soldável Marron - Diam 85 x 75 mm</t>
  </si>
  <si>
    <t>un</t>
  </si>
  <si>
    <t>17.20</t>
  </si>
  <si>
    <t>* Joelho 45o PVC Rigido Soldável Marron - Diam 25 mm (3/4")</t>
  </si>
  <si>
    <t>un</t>
  </si>
  <si>
    <t>17.21</t>
  </si>
  <si>
    <t>* Joelho 45o PVC Rigido Soldável Marron - Diam 32 mm (1")</t>
  </si>
  <si>
    <t>un</t>
  </si>
  <si>
    <t>17.22</t>
  </si>
  <si>
    <t>* Joelho 90o PVC Rigido Soldável Marron - Diam 25 mm (3/4")</t>
  </si>
  <si>
    <t>un</t>
  </si>
  <si>
    <t>17.23</t>
  </si>
  <si>
    <t>* Joelho 90o PVC Rigido Soldável Marron - Diam 32 mm (1")</t>
  </si>
  <si>
    <t>un</t>
  </si>
  <si>
    <t>17.24</t>
  </si>
  <si>
    <t>* Joelho 90o PVC Rigido Soldável Marron - Diam 50 mm (1 1/2")</t>
  </si>
  <si>
    <t>un</t>
  </si>
  <si>
    <t>17.25</t>
  </si>
  <si>
    <t>* Joelho 90o PVC Rigido Soldável Marron - Diam 75 mm (2 1/2")</t>
  </si>
  <si>
    <t>un</t>
  </si>
  <si>
    <t>17.26</t>
  </si>
  <si>
    <t>* Joelho 90o PVC Rigido Soldável Marron - Diam 85 mm (3")</t>
  </si>
  <si>
    <t>un</t>
  </si>
  <si>
    <t>17.27</t>
  </si>
  <si>
    <t>* Joelho 90o LR PVC com Bucha de Latão 25 x 1/2"</t>
  </si>
  <si>
    <t>un</t>
  </si>
  <si>
    <t>17.28</t>
  </si>
  <si>
    <t>* Luva LR PVC Rigido 32 x 1"</t>
  </si>
  <si>
    <t>un</t>
  </si>
  <si>
    <t>17.29</t>
  </si>
  <si>
    <t>* Luva LR PVC Rigido 25 x 3/4"</t>
  </si>
  <si>
    <t>un</t>
  </si>
  <si>
    <t>17.30</t>
  </si>
  <si>
    <t>* Te 90o PVC Rigido Soldável Marron - Diam 25 mm (3/4")</t>
  </si>
  <si>
    <t>un</t>
  </si>
  <si>
    <t>17.31</t>
  </si>
  <si>
    <t>* Te 90o PVC Rigido Soldável Marron - Diam 32 mm (1")</t>
  </si>
  <si>
    <t>un</t>
  </si>
  <si>
    <t>17.32</t>
  </si>
  <si>
    <t>* Te 90o PVC Rigido Soldável Marron - Diam 50 mm (1 1/2")</t>
  </si>
  <si>
    <t>un</t>
  </si>
  <si>
    <t>17.33</t>
  </si>
  <si>
    <t>% Etapa</t>
  </si>
  <si>
    <t>% Global</t>
  </si>
  <si>
    <t>Acuml</t>
  </si>
  <si>
    <t>% Exec.</t>
  </si>
  <si>
    <t>Pavimentação  Externa  (pavere 1/2 Fio)</t>
  </si>
  <si>
    <t>Muro de Divisa</t>
  </si>
  <si>
    <t>Mobiliario</t>
  </si>
  <si>
    <t>Complementares</t>
  </si>
  <si>
    <t>Incendio e Segurança</t>
  </si>
  <si>
    <t>Cabeamento Estruturado</t>
  </si>
  <si>
    <t>Ramais  Alimentadores</t>
  </si>
  <si>
    <t>Tetos lajes e beirais</t>
  </si>
  <si>
    <t>Forro em Fibra Mineral conf. Esp</t>
  </si>
  <si>
    <t>Forro de Madeira</t>
  </si>
  <si>
    <t>Louças, Aparelhos e Metais</t>
  </si>
  <si>
    <t>Quadros de Distribuição e nobreak</t>
  </si>
  <si>
    <t>Posto de Trasnformação</t>
  </si>
  <si>
    <t>Aterramento</t>
  </si>
  <si>
    <t>* Te 90o PVC Rigido Soldável Marron - Diam 75 mm (2 1/2")</t>
  </si>
  <si>
    <t>un</t>
  </si>
  <si>
    <t>17.34</t>
  </si>
  <si>
    <t>* Te 90o PVC Rigido Soldável Marron - Diam 85 mm (3")</t>
  </si>
  <si>
    <t>un</t>
  </si>
  <si>
    <t>17.35</t>
  </si>
  <si>
    <t>* Luva PVC Rigido Soldável Marron - Diam 25 mm (3/4")</t>
  </si>
  <si>
    <t>un</t>
  </si>
  <si>
    <t>17.36</t>
  </si>
  <si>
    <t>* Luva PVC Rigido Soldável Marron - Diam 32 mm (1")</t>
  </si>
  <si>
    <t>un</t>
  </si>
  <si>
    <t>17.37</t>
  </si>
  <si>
    <t>* Luva PVC Rigido Soldável Marron - Diam 50 mm (1 1/2")</t>
  </si>
  <si>
    <t>un</t>
  </si>
  <si>
    <t>17.38</t>
  </si>
  <si>
    <t>* Luva PVC Rigido Soldável Marron - Diam 75 mm (2 1/2")</t>
  </si>
  <si>
    <t>un</t>
  </si>
  <si>
    <t>17.39</t>
  </si>
  <si>
    <t>* Luva PVC Rigido Soldável Marron - Diam 85 mm (3")</t>
  </si>
  <si>
    <t>un</t>
  </si>
  <si>
    <t>17.40</t>
  </si>
  <si>
    <t>* Te Redução 90o PVC Rigido Soldável Marron - Diam 32 x 25 mm</t>
  </si>
  <si>
    <t>un</t>
  </si>
  <si>
    <t>17.41</t>
  </si>
  <si>
    <t>* Te Redução 90o PVC Rigido Soldável Marron - Diam 50 x 25 mm</t>
  </si>
  <si>
    <t>un</t>
  </si>
  <si>
    <t>17.42</t>
  </si>
  <si>
    <t>* Te Redução 90o PVC Rigido Soldável Marron - Diam 75 x 50 mm</t>
  </si>
  <si>
    <t>un</t>
  </si>
  <si>
    <t>17.43</t>
  </si>
  <si>
    <t>* Te Redução 90o PVC Rigido Soldável Marron - Diam 85 x 60 mm</t>
  </si>
  <si>
    <t>un</t>
  </si>
  <si>
    <t>17.44</t>
  </si>
  <si>
    <t>* Te 90o PVC com Bucha Latão - Diam 25 mm x 25 mm x 1/2"</t>
  </si>
  <si>
    <t>un</t>
  </si>
  <si>
    <t>17.45</t>
  </si>
  <si>
    <t>* Tubo Cobre - Diam 22 mm (3/4")</t>
  </si>
  <si>
    <t>m</t>
  </si>
  <si>
    <t>17.46</t>
  </si>
  <si>
    <t>* Conector Cobre Macho - Diam 22 mm x 3/4"</t>
  </si>
  <si>
    <t>un</t>
  </si>
  <si>
    <t>17.47</t>
  </si>
  <si>
    <t>* Registro de Pressão Bruto - Diam 20 mm (3/4")</t>
  </si>
  <si>
    <t>un</t>
  </si>
  <si>
    <t>17.48</t>
  </si>
  <si>
    <t>* Registro de Gaveta com Canopla - Diam 20 mm (3/4")</t>
  </si>
  <si>
    <t>un</t>
  </si>
  <si>
    <t>17.49</t>
  </si>
  <si>
    <t>* Registro de Gaveta com Canopla - Diam 40 mm (1 1/2")</t>
  </si>
  <si>
    <t>un</t>
  </si>
  <si>
    <t>17.50</t>
  </si>
  <si>
    <t>* Registro de Gaveta Bruto - Diam 25 mm (1")</t>
  </si>
  <si>
    <t>un</t>
  </si>
  <si>
    <t>17.51</t>
  </si>
  <si>
    <t>* Registro de Gaveta Bruto - Diam 40 mm (1 1/2")</t>
  </si>
  <si>
    <t>un</t>
  </si>
  <si>
    <t>17.52</t>
  </si>
  <si>
    <t>* Registro de Gaveta Bruto - Diam 50 mm (2")</t>
  </si>
  <si>
    <t>un</t>
  </si>
  <si>
    <t>17.53</t>
  </si>
  <si>
    <t>* Registro de Gaveta Bruto - Diam 80 mm (3")</t>
  </si>
  <si>
    <t>un</t>
  </si>
  <si>
    <t>17.54</t>
  </si>
  <si>
    <t>* Válvula de Esfera PVC - Diam 3/4"</t>
  </si>
  <si>
    <t>un</t>
  </si>
  <si>
    <t>17.55</t>
  </si>
  <si>
    <t>* Torneira de Parede Cromada para Uso Geral</t>
  </si>
  <si>
    <t>un</t>
  </si>
  <si>
    <t>17.56</t>
  </si>
  <si>
    <t>* Torneira de Bóia - Diam 25 mm (1")</t>
  </si>
  <si>
    <t>un</t>
  </si>
  <si>
    <t>17.57</t>
  </si>
  <si>
    <t>* Reservatório em Fibra de Vidro - 2000 l</t>
  </si>
  <si>
    <t>un</t>
  </si>
  <si>
    <t>17.58</t>
  </si>
  <si>
    <t>* Caixa Alvenaria com Tampa Ferro Fundido com hidrômetro 1,5m³/h - 60 x 40 cm</t>
  </si>
  <si>
    <t>un</t>
  </si>
  <si>
    <t>17.59</t>
  </si>
  <si>
    <t>* Torneira de Parede em Metal Multiuso - 3/4"</t>
  </si>
  <si>
    <t>un</t>
  </si>
  <si>
    <t>17.60</t>
  </si>
  <si>
    <t>* Bacia Sifonada em Louça com Válvula Comum - Completa</t>
  </si>
  <si>
    <t>un</t>
  </si>
  <si>
    <t>17.61</t>
  </si>
  <si>
    <t>* Bacia Sifonada com Válvula Comum para Deficiente - Louça Branca</t>
  </si>
  <si>
    <t>un</t>
  </si>
  <si>
    <t>17.62</t>
  </si>
  <si>
    <t>* Lavatório em Louça com Coluna para Deficiente - Completa</t>
  </si>
  <si>
    <t>un</t>
  </si>
  <si>
    <t>17.63</t>
  </si>
  <si>
    <t>* Lavatório em Louça com Coluna - Completa</t>
  </si>
  <si>
    <t>un</t>
  </si>
  <si>
    <t>17.64</t>
  </si>
  <si>
    <t>* Mictório em Louça - Completo</t>
  </si>
  <si>
    <t>un</t>
  </si>
  <si>
    <t>17.65</t>
  </si>
  <si>
    <t>* Instalação e Ligação de Pia Aço Inox - 1 Cuba</t>
  </si>
  <si>
    <t>un</t>
  </si>
  <si>
    <t>17.66</t>
  </si>
  <si>
    <t>* Tanque em louça com Coluna - Completo</t>
  </si>
  <si>
    <t>un</t>
  </si>
  <si>
    <t>17.67</t>
  </si>
  <si>
    <t>* Ducha Higiênica com Gatilho</t>
  </si>
  <si>
    <t>un</t>
  </si>
  <si>
    <t>17.68</t>
  </si>
  <si>
    <t>* Torneira de Parede Longa Cromada para Pia</t>
  </si>
  <si>
    <t>un</t>
  </si>
  <si>
    <t>17.69</t>
  </si>
  <si>
    <t>* Torneira de Parede Cromada para Uso Geral</t>
  </si>
  <si>
    <t>un</t>
  </si>
  <si>
    <t>17.70</t>
  </si>
  <si>
    <t>* Válvula para Mictório</t>
  </si>
  <si>
    <t>un</t>
  </si>
  <si>
    <t>17.71</t>
  </si>
  <si>
    <t>* Papeleira Cromada - Bastão</t>
  </si>
  <si>
    <t>un</t>
  </si>
  <si>
    <t>17.72</t>
  </si>
  <si>
    <t>* Saboneteira para Sabão Líquido</t>
  </si>
  <si>
    <t>un</t>
  </si>
  <si>
    <t>17.73</t>
  </si>
  <si>
    <t>* Porta Papel Toalha - para Fardo de Papel</t>
  </si>
  <si>
    <t>un</t>
  </si>
  <si>
    <t>17.74</t>
  </si>
  <si>
    <t>* Cabide Assentado no Cimento Colante - Louça Branca</t>
  </si>
  <si>
    <t>par</t>
  </si>
  <si>
    <t>18.0</t>
  </si>
  <si>
    <t>Instalações Contra Incêndio</t>
  </si>
  <si>
    <t>18.1</t>
  </si>
  <si>
    <t>* Extintor de Água Pressurisada Inclusive Chapa e Pintura Demarcatória - 10 Kg</t>
  </si>
  <si>
    <t>un</t>
  </si>
  <si>
    <t>18.2</t>
  </si>
  <si>
    <t>* Extintor de Pó Químico Inclusive Chapa e Pintura Demarcatória - 4 Kg</t>
  </si>
  <si>
    <t>un</t>
  </si>
  <si>
    <t>18.3</t>
  </si>
  <si>
    <t>* Extintor de Gás Carbonico Inclusive Chapa e Pintura Demarcatória - 6 Kg</t>
  </si>
  <si>
    <t>un</t>
  </si>
  <si>
    <t>18.4</t>
  </si>
  <si>
    <t>* Extintor de Pó Químico Inclusive Chapa e Pintura Demarcatória - 6 Kg</t>
  </si>
  <si>
    <t>un</t>
  </si>
  <si>
    <t>19.0</t>
  </si>
  <si>
    <t>Inst. Elétricas, Telec. e Informática</t>
  </si>
  <si>
    <t>19.1</t>
  </si>
  <si>
    <t>* Luminária de Embutir 2 x 32 W, Corpo em Chapa de Alumínio, Lâmpadas e Reator - Ilumine ou Similar</t>
  </si>
  <si>
    <t>un</t>
  </si>
  <si>
    <t>19.2</t>
  </si>
  <si>
    <t>* Luminária de Sobrepor 2 x 32 W, Corpo em Chapa de Alumínio, Lâmpadas e Reator - Ilumine ou similar</t>
  </si>
  <si>
    <t>un</t>
  </si>
  <si>
    <t>19.3</t>
  </si>
  <si>
    <t>* Luminária de Sobrepor 2 x 26 W, Refletor Metalizado, Lâmpadas e Reator - Ilumine ou similar</t>
  </si>
  <si>
    <t>un</t>
  </si>
  <si>
    <t>19.4</t>
  </si>
  <si>
    <t>* Sensor IVP</t>
  </si>
  <si>
    <t>un</t>
  </si>
  <si>
    <t>19.5</t>
  </si>
  <si>
    <t>* Luminária de Sinalização de Emergência com 2 lâmpadas de 4 W, duas hora de Autonomia</t>
  </si>
  <si>
    <t>un</t>
  </si>
  <si>
    <t>19.6</t>
  </si>
  <si>
    <t>* Luminária de Emergência com 2 lâmpadas de 4 W, uma hora de Autonomia</t>
  </si>
  <si>
    <t>un</t>
  </si>
  <si>
    <t>Linha Transmobil ou Similar</t>
  </si>
  <si>
    <t>19.7</t>
  </si>
  <si>
    <t>* Tomada 2 P + T, 20 A, 250 V - Sem Placa de Fechamento</t>
  </si>
  <si>
    <t>un</t>
  </si>
  <si>
    <t>19.8</t>
  </si>
  <si>
    <t>* Espelho caixa 2" x 4" - Pino Black Jack</t>
  </si>
  <si>
    <t>un</t>
  </si>
  <si>
    <t>19.9</t>
  </si>
  <si>
    <t>* Tomada 2P+T para Piso - 15 A, 250 V, com espelho Metálico em Latão Polido</t>
  </si>
  <si>
    <t>un</t>
  </si>
  <si>
    <t>Linha Pial ou similar</t>
  </si>
  <si>
    <t>19.10</t>
  </si>
  <si>
    <t>* Tomada 2 P + T, 15 A, 125/250 V - Sem Placa de Fechamento</t>
  </si>
  <si>
    <t>un</t>
  </si>
  <si>
    <t>19.11</t>
  </si>
  <si>
    <t>* Espelho caixa 2" x 4" - 1 Posto Redondo Simples</t>
  </si>
  <si>
    <t>un</t>
  </si>
  <si>
    <t>19.12</t>
  </si>
  <si>
    <t>* Tomada 2 P + T, 15 A, 125 V - Sem Placa de Fechamento</t>
  </si>
  <si>
    <t>un</t>
  </si>
  <si>
    <t>19.13</t>
  </si>
  <si>
    <t>* Espelho caixa 2" x 4" - 1 Posto Redondo Simples</t>
  </si>
  <si>
    <t>un</t>
  </si>
  <si>
    <t>* Tomada 3 P, 15 A, 250 V - Sem Placa de Fechamento</t>
  </si>
  <si>
    <t>un</t>
  </si>
  <si>
    <t>19.14</t>
  </si>
  <si>
    <t>* Espelho caixa 2" x 4" - 1 Posto Redondo Simples</t>
  </si>
  <si>
    <t>un</t>
  </si>
  <si>
    <t>19.15</t>
  </si>
  <si>
    <t>* Interruptor 1 TS, 10 A, 250 V - Sem Placa de Fechamento</t>
  </si>
  <si>
    <t>un</t>
  </si>
  <si>
    <t>19.16</t>
  </si>
  <si>
    <t>* Espelho caixa 2" x 4" - 1 Posto Retangular Simples</t>
  </si>
  <si>
    <t>un</t>
  </si>
  <si>
    <t>19.17</t>
  </si>
  <si>
    <t>* Interruptor 2 TS 10 A - 250 V com tampa para condulete de Alumínio 3/4"</t>
  </si>
  <si>
    <t>un</t>
  </si>
  <si>
    <t>19.18</t>
  </si>
  <si>
    <t>* Espelho caixa 2" x 4" - 2 Posto Retangular Simples</t>
  </si>
  <si>
    <t>un</t>
  </si>
  <si>
    <t>19.19</t>
  </si>
  <si>
    <t>* Interruptor 1 TP, 10 A, 250 V - Sem Placa de Fechamento</t>
  </si>
  <si>
    <t>un</t>
  </si>
  <si>
    <t>19.20</t>
  </si>
  <si>
    <t>* Espelho caixa 2" x 4" - 1 Posto Retangular Simples</t>
  </si>
  <si>
    <t>un</t>
  </si>
  <si>
    <t>19.21</t>
  </si>
  <si>
    <t>* Caixa de Ligação PVC para Eletroduto - 100 x 50 mm (4" x 2")</t>
  </si>
  <si>
    <t>un</t>
  </si>
  <si>
    <t>19.22</t>
  </si>
  <si>
    <t>* Caixa de Ligação PVC para Eletroduto - 100 x 100 mm (4" x 4")</t>
  </si>
  <si>
    <t>un</t>
  </si>
  <si>
    <t>19.23</t>
  </si>
  <si>
    <t>* Caixa de Alumínio 4 x 4" para Piso com Tampa em Latão para 1 Tomada</t>
  </si>
  <si>
    <t>un</t>
  </si>
  <si>
    <t>19.24</t>
  </si>
  <si>
    <t>* Condulete de Alumínio Universal, sem rosca, com Tampa - Diam 3/4"</t>
  </si>
  <si>
    <t>un</t>
  </si>
  <si>
    <t>19.25</t>
  </si>
  <si>
    <t>* Unidut para Condulete - Diam 3/4"</t>
  </si>
  <si>
    <t>un</t>
  </si>
  <si>
    <t>19.26</t>
  </si>
  <si>
    <t>* Tampão para Condulete - Diam 3/4"</t>
  </si>
  <si>
    <t>un</t>
  </si>
  <si>
    <t>19.27</t>
  </si>
  <si>
    <t>* Eletroduto de PVC Rígido Roscável Diam 25 mm (3/4"), com Luva</t>
  </si>
  <si>
    <t>m</t>
  </si>
  <si>
    <t>19.28</t>
  </si>
  <si>
    <t>* Curva 90o para Eletroduto de PVC Diam 25 mm (3/4"), com Luva</t>
  </si>
  <si>
    <t>un</t>
  </si>
  <si>
    <t>19.29</t>
  </si>
  <si>
    <t>* Cabo Cobre com Isolamento PVC 750 V # 2,5 mm²</t>
  </si>
  <si>
    <t>m</t>
  </si>
  <si>
    <t>19.30</t>
  </si>
  <si>
    <t>* Condutor Cobre com Isolamento PVC 750 V # 2,5 mm²</t>
  </si>
  <si>
    <t>m</t>
  </si>
  <si>
    <t>19.31</t>
  </si>
  <si>
    <t>* Condutor Cobre com Isolamento PVC 750 V # 4 mm²</t>
  </si>
  <si>
    <t>m</t>
  </si>
  <si>
    <t>19.32</t>
  </si>
  <si>
    <t>* Cabo Cobre com Isolamento PVC 1 KV # 4 mm²</t>
  </si>
  <si>
    <t>m</t>
  </si>
  <si>
    <t>19.33</t>
  </si>
  <si>
    <t>* Eletroduto PVC Flexível Corrugado - Diam 1 1/4"</t>
  </si>
  <si>
    <t>m</t>
  </si>
  <si>
    <t>19.34</t>
  </si>
  <si>
    <t>* Cabo Cobre com Isolamento PVC 1 KV # 4 mm²</t>
  </si>
  <si>
    <t>m</t>
  </si>
  <si>
    <t>19.35</t>
  </si>
  <si>
    <t>* Poste Aço Galv 3 m, com Lum Liga Naval, Refl em Alum Pint Preta Fosca, Reator e Ignitor Alojando</t>
  </si>
  <si>
    <t>un</t>
  </si>
  <si>
    <t>19.36</t>
  </si>
  <si>
    <t>* Poste em Ferro Galvanizado, Pintura Preta com 1 Pétala, Lâmpada Vapor de Sódio 70W, com Reator</t>
  </si>
  <si>
    <t>un</t>
  </si>
  <si>
    <t>19.37</t>
  </si>
  <si>
    <t>Mão Obra</t>
  </si>
  <si>
    <t>Fator Joao</t>
  </si>
  <si>
    <t>Unit MO</t>
  </si>
  <si>
    <t>* Relé Fotoelétrico - 220 V, com Suporte</t>
  </si>
  <si>
    <t>un</t>
  </si>
  <si>
    <t>19.38</t>
  </si>
  <si>
    <t>* Caixa Concreto  Lateral/Funos CS e Tampa CA - 30 x 30 x 30 cm</t>
  </si>
  <si>
    <t xml:space="preserve">un </t>
  </si>
  <si>
    <t>19.39</t>
  </si>
  <si>
    <t>* Cabo UTP 4 Pares - Categ 6</t>
  </si>
  <si>
    <t>m</t>
  </si>
  <si>
    <t>19.40</t>
  </si>
  <si>
    <t>* Caixa de Ligação PVC para Eletroduto - 100 x 100 mm (4" x 4")</t>
  </si>
  <si>
    <t>un</t>
  </si>
  <si>
    <t>19.41</t>
  </si>
  <si>
    <t>* Caixa de Alumínio 4 x 4" para Piso com Tampa em Latão para 6 Tomadas</t>
  </si>
  <si>
    <t>un</t>
  </si>
  <si>
    <t>19.42</t>
  </si>
  <si>
    <t>* Conector RJ-45 Fêmea - Cat 6</t>
  </si>
  <si>
    <t>un</t>
  </si>
  <si>
    <t>19.43</t>
  </si>
  <si>
    <t>* Espelho caixa 4" x 4" - 6 Saídas - Cat 6</t>
  </si>
  <si>
    <t>un</t>
  </si>
  <si>
    <t>19.44</t>
  </si>
  <si>
    <t>* Espelho caixa 4" x 4" - Cego - Cat 6</t>
  </si>
  <si>
    <t>un</t>
  </si>
  <si>
    <t>EQUIPAMENTOS</t>
  </si>
  <si>
    <t>19.45</t>
  </si>
  <si>
    <t>* Patch Panel - 24 Portas - Categoria 6</t>
  </si>
  <si>
    <t>un</t>
  </si>
  <si>
    <t>19.46</t>
  </si>
  <si>
    <t>* Switch 24 Portas, 10/100NBPS - Cat 6</t>
  </si>
  <si>
    <t>un</t>
  </si>
  <si>
    <t>19.47</t>
  </si>
  <si>
    <t>* Guia de Cabos para Rack padrão 19"</t>
  </si>
  <si>
    <t>un</t>
  </si>
  <si>
    <t>19.48</t>
  </si>
  <si>
    <t>* Bloco IDC - 10 Pares</t>
  </si>
  <si>
    <t>un</t>
  </si>
  <si>
    <t>19.49</t>
  </si>
  <si>
    <t>* Conector 110 IDC - Cat 6</t>
  </si>
  <si>
    <t>un</t>
  </si>
  <si>
    <t>19.50</t>
  </si>
  <si>
    <t>* Régua 08 tomadas para Rack padrão 19"</t>
  </si>
  <si>
    <t>un</t>
  </si>
  <si>
    <t>19.51</t>
  </si>
  <si>
    <t>* Unidade Teto com 2 ventiladores</t>
  </si>
  <si>
    <t>un</t>
  </si>
  <si>
    <t>19.52</t>
  </si>
  <si>
    <t>* Bandeja com 4 Pontos de Fixação para Rack 19"</t>
  </si>
  <si>
    <t>un</t>
  </si>
  <si>
    <t>19.53</t>
  </si>
  <si>
    <t>* Patch Cable - Categ 6 - Comprimento 3,00 m</t>
  </si>
  <si>
    <t>un</t>
  </si>
  <si>
    <t>19.54</t>
  </si>
  <si>
    <t>* Patch Cable - Categ 6 - Comprimento 1,50 m</t>
  </si>
  <si>
    <t>un</t>
  </si>
  <si>
    <t>19.55</t>
  </si>
  <si>
    <t>* Patch Cable - Categ 6 - Comprimento 2,50 m</t>
  </si>
  <si>
    <t>un</t>
  </si>
  <si>
    <t>19.56</t>
  </si>
  <si>
    <t>* Patch Cable IDC/RJ45 - Categ 6 - Comprimento 2,50 m</t>
  </si>
  <si>
    <t>un</t>
  </si>
  <si>
    <t>19.57</t>
  </si>
  <si>
    <t>* Bloco IDC - 10 Pares</t>
  </si>
  <si>
    <t>un</t>
  </si>
  <si>
    <t>19.58</t>
  </si>
  <si>
    <t>* Módulo Comprotec 2/1</t>
  </si>
  <si>
    <t>un</t>
  </si>
  <si>
    <t>19.59</t>
  </si>
  <si>
    <t>* Velcro 5/8" x 1 m</t>
  </si>
  <si>
    <t>un</t>
  </si>
  <si>
    <t>19.60</t>
  </si>
  <si>
    <t>* Cabo telefônico CCI 50 - 30 pares</t>
  </si>
  <si>
    <t>m</t>
  </si>
  <si>
    <t>19.61</t>
  </si>
  <si>
    <t>* Porca Gaiola Metálica M5 - Uso pesado</t>
  </si>
  <si>
    <t>un</t>
  </si>
  <si>
    <t>19.62</t>
  </si>
  <si>
    <t>* Parafuso Phillips M5 x 15 Niquelado</t>
  </si>
  <si>
    <t>un</t>
  </si>
  <si>
    <t>19.63</t>
  </si>
  <si>
    <t>* Cabo telefônico CCI 50 - 2 pares</t>
  </si>
  <si>
    <t>m</t>
  </si>
  <si>
    <t>19.64</t>
  </si>
  <si>
    <t>* Etiqueta para Identificação Cabo UTP - 4 P</t>
  </si>
  <si>
    <t>cx</t>
  </si>
  <si>
    <t>19.65</t>
  </si>
  <si>
    <t>* Etiqueta para identificação de Espelhos</t>
  </si>
  <si>
    <t>cx</t>
  </si>
  <si>
    <t>19.66</t>
  </si>
  <si>
    <t>* Rack 19" - 44 U - Profundidade Externa de 770 mm</t>
  </si>
  <si>
    <t>un</t>
  </si>
  <si>
    <t>19.67</t>
  </si>
  <si>
    <t>* Quadro de Distribuição TELEBRAS, Nº4 - 600 x 600 x 120 mm</t>
  </si>
  <si>
    <t>un</t>
  </si>
  <si>
    <t>19.68</t>
  </si>
  <si>
    <t>* Bloco Telefônico M10-B</t>
  </si>
  <si>
    <t>un</t>
  </si>
  <si>
    <t>19.69</t>
  </si>
  <si>
    <t>* Bastidor para 4 blocos de 10 pares</t>
  </si>
  <si>
    <t>un</t>
  </si>
  <si>
    <t>19.70</t>
  </si>
  <si>
    <t>* Central Telefônica 8 Troncos Analógicos, 44 Ramais, com atendendimento Automático, Aparelho KS</t>
  </si>
  <si>
    <t>un</t>
  </si>
  <si>
    <t>19.71</t>
  </si>
  <si>
    <t>* Aparelho Telefônico Euroset</t>
  </si>
  <si>
    <t>un</t>
  </si>
  <si>
    <t>19.72</t>
  </si>
  <si>
    <t>* Plug Protetor PT 2 PE/S 120 AC-ST</t>
  </si>
  <si>
    <t>un</t>
  </si>
  <si>
    <t>19.73</t>
  </si>
  <si>
    <t>* Base para Plug Protetor PT</t>
  </si>
  <si>
    <t>un</t>
  </si>
  <si>
    <t>19.74</t>
  </si>
  <si>
    <t>* Plug Protetor VAL  MS 120 ST</t>
  </si>
  <si>
    <t>un</t>
  </si>
  <si>
    <t>19.75</t>
  </si>
  <si>
    <t>* Base para Plug Protetor VAL</t>
  </si>
  <si>
    <t>un</t>
  </si>
  <si>
    <t>19.76</t>
  </si>
  <si>
    <t>* Caixa Subterrânea de Alvenaria 110 x 55 x 60 cm - com Tampa R2</t>
  </si>
  <si>
    <t>un</t>
  </si>
  <si>
    <t>19.77</t>
  </si>
  <si>
    <t>* Eletroduto de PVC Rígido Roscável Diam 85 mm (3"), com Luva</t>
  </si>
  <si>
    <t>m</t>
  </si>
  <si>
    <t>19.78</t>
  </si>
  <si>
    <t>* Guia de Cabos para Rack padrão 19"</t>
  </si>
  <si>
    <t>un</t>
  </si>
  <si>
    <t>19.79</t>
  </si>
  <si>
    <t>* Eletroduto de PVC Flexível Corrugado - Diam 3"</t>
  </si>
  <si>
    <t>m</t>
  </si>
  <si>
    <t>19.80</t>
  </si>
  <si>
    <t>* Eletroduto PVC Flexível Corrugado - Diam 4"</t>
  </si>
  <si>
    <t>m</t>
  </si>
  <si>
    <t>19.81</t>
  </si>
  <si>
    <t>* Condutor Cobre com Isolamento PVC 1 Kv # 120 mm²</t>
  </si>
  <si>
    <t>m</t>
  </si>
  <si>
    <t>19.82</t>
  </si>
  <si>
    <t>* Cabo Cobre com Isolamento PVC 1 KV # 95 mm²</t>
  </si>
  <si>
    <t>m</t>
  </si>
  <si>
    <t>19.83</t>
  </si>
  <si>
    <t>* Cabo Cobre com Isolamento PVC 1 KV # 70 mm²</t>
  </si>
  <si>
    <t>m</t>
  </si>
  <si>
    <t>19.84</t>
  </si>
  <si>
    <t>* Cabo Cobre com Isolamento PVC 1 KV # 50 mm²</t>
  </si>
  <si>
    <t>m</t>
  </si>
  <si>
    <t>19.85</t>
  </si>
  <si>
    <t>* Cabo Cobre com Isolamento PVC 1 KV # 35 mm²</t>
  </si>
  <si>
    <t>m</t>
  </si>
  <si>
    <t>19.86</t>
  </si>
  <si>
    <t>* Cabo Cobre com Isolamento PVC 1 KV # 25 mm²</t>
  </si>
  <si>
    <t>m</t>
  </si>
  <si>
    <t>19.87</t>
  </si>
  <si>
    <t>* Cabo Cobre com Isolamento PVC 1 KV # 16 mm²</t>
  </si>
  <si>
    <t>m</t>
  </si>
  <si>
    <t>19.88</t>
  </si>
  <si>
    <t>* Cabo Cobre com Isolamento PVC 1 KV # 10 mm²</t>
  </si>
  <si>
    <t>m</t>
  </si>
  <si>
    <t>19.89</t>
  </si>
  <si>
    <t>* Caixa de  Alvenaria Fundo/Tampa em Concreto Armado 80 x 80  x 80 cm</t>
  </si>
  <si>
    <t>un</t>
  </si>
  <si>
    <t>19.90</t>
  </si>
  <si>
    <t>* Caixa de Ligação PVC para Eletroduto - 100 x 50 mm (4" x 2")</t>
  </si>
  <si>
    <t>un</t>
  </si>
  <si>
    <t>19.91</t>
  </si>
  <si>
    <t>* Tampa PVC Cega com Furo Central - 2 x 4"</t>
  </si>
  <si>
    <t>un</t>
  </si>
  <si>
    <t>19.92</t>
  </si>
  <si>
    <t>* Caixa de Ligação PVC para Eletroduto - 100 x 50 mm (4" x 2")</t>
  </si>
  <si>
    <t>un</t>
  </si>
  <si>
    <t>19.93</t>
  </si>
  <si>
    <t>* Tampa PVC Cega com Furo Central - 2 x 4"</t>
  </si>
  <si>
    <t>un</t>
  </si>
  <si>
    <t>19.94</t>
  </si>
  <si>
    <t>* Eletroduto de PVC Rígido Roscável Diam 25 mm (3/4"), com Luva</t>
  </si>
  <si>
    <t>m</t>
  </si>
  <si>
    <t>19.95</t>
  </si>
  <si>
    <t>* Eletrocalha Perfurada Galvanizada Eletronicamente, Tipo C, Chapa # 20 - Dim. 300 x 100 mm</t>
  </si>
  <si>
    <t>m</t>
  </si>
  <si>
    <t>19.96</t>
  </si>
  <si>
    <t>* Te para Eletrocalha Horizontal em Chapa Galvanizada - Dim 300x100 mm</t>
  </si>
  <si>
    <t>un</t>
  </si>
  <si>
    <t>19.97</t>
  </si>
  <si>
    <t>* Curva para Eletrocalha Horizontal 90o em Chapa Galvanizada - Dim 300x100 mm</t>
  </si>
  <si>
    <t>un</t>
  </si>
  <si>
    <t>19.98</t>
  </si>
  <si>
    <t>* Curva para Eletrocalha Vertical Externa 90o em Chapa Galvanizada - Dim 300x100 mm</t>
  </si>
  <si>
    <t>un</t>
  </si>
  <si>
    <t>19.99</t>
  </si>
  <si>
    <t>Estacas Pre-moldadas</t>
  </si>
  <si>
    <t>* Flange para Eletrocalha Acabamento em Quadro - Dim. 300x100 mm</t>
  </si>
  <si>
    <t>un</t>
  </si>
  <si>
    <t>19.100</t>
  </si>
  <si>
    <t>* Tala para Eletrocalha Perfurada - H=100 mm</t>
  </si>
  <si>
    <t>un</t>
  </si>
  <si>
    <t>19.101</t>
  </si>
  <si>
    <t>* Saída Lateral de Eletrocalha para Eletroduto - Diam 3/4"</t>
  </si>
  <si>
    <t>un</t>
  </si>
  <si>
    <t>19.102</t>
  </si>
  <si>
    <t>* Perfilado Metálico Perfurado - Diam 38 x 38 mm - sem tampa</t>
  </si>
  <si>
    <t>m</t>
  </si>
  <si>
    <t>19.103</t>
  </si>
  <si>
    <t>* Tala para Perfilado Perfurado - H=38 mm</t>
  </si>
  <si>
    <t>un</t>
  </si>
  <si>
    <t>19.104</t>
  </si>
  <si>
    <t>* Emenda interna T para Perfilado - Diam 38 mm</t>
  </si>
  <si>
    <t>un</t>
  </si>
  <si>
    <t>19.105</t>
  </si>
  <si>
    <t>* Saída Lateral de Perfilado para 3/4"</t>
  </si>
  <si>
    <t>un</t>
  </si>
  <si>
    <t>19.106</t>
  </si>
  <si>
    <t>* Gancho Curto para Luminária</t>
  </si>
  <si>
    <t>un</t>
  </si>
  <si>
    <t>19.107</t>
  </si>
  <si>
    <t>* Gancho Curto para Luminária</t>
  </si>
  <si>
    <t>un</t>
  </si>
  <si>
    <t>* Parafuso Cabeça de Lentilha com Fenda - Diam 1/4" x 1/2" + Arruela Lisa e de Pressão</t>
  </si>
  <si>
    <t>conj</t>
  </si>
  <si>
    <t>* Arruela Lisa ou de Pressão - Diam 1/4"</t>
  </si>
  <si>
    <t>un</t>
  </si>
  <si>
    <t>un</t>
  </si>
  <si>
    <t>un</t>
  </si>
  <si>
    <t>un</t>
  </si>
  <si>
    <t>un</t>
  </si>
  <si>
    <t>un</t>
  </si>
  <si>
    <t>un</t>
  </si>
  <si>
    <t>un</t>
  </si>
  <si>
    <t>un</t>
  </si>
  <si>
    <t>un</t>
  </si>
  <si>
    <t>un</t>
  </si>
  <si>
    <t>un</t>
  </si>
  <si>
    <t>un</t>
  </si>
  <si>
    <t>un</t>
  </si>
  <si>
    <t>un</t>
  </si>
  <si>
    <t>un</t>
  </si>
  <si>
    <t>un</t>
  </si>
  <si>
    <t xml:space="preserve"> </t>
  </si>
  <si>
    <t>TOMADA DE PREÇOS Nº 04/2006</t>
  </si>
  <si>
    <t>un</t>
  </si>
  <si>
    <t>un</t>
  </si>
  <si>
    <t>un</t>
  </si>
  <si>
    <t>un</t>
  </si>
  <si>
    <t>* No-Break/Estabilizador - Potência de 20KVA- Tensão Ent 220 V, Saída 220/127 - Autonômia 15 min</t>
  </si>
  <si>
    <t>un</t>
  </si>
  <si>
    <t>*CPL 1 / CES 1  Cx. Alven. com Fundo CS e Tampa CA - 60x60x60 cm</t>
  </si>
  <si>
    <t>*BLJ 1   Caixa de  Alvenaria Fundo/Grelha em Concreto Armado</t>
  </si>
  <si>
    <t>*CCP 1  Caixa de Captação em Tubo de Concreto Diam 60 cm, com fundo e tampa em concreto</t>
  </si>
  <si>
    <t>*QDG  Quadro para Até 10 Espaços Sobrepor, com Barramento</t>
  </si>
  <si>
    <t>*QDG Disjuntor 3P / 400 A - Curva C</t>
  </si>
  <si>
    <t>*QDG Disjuntor 3P / 200 A - Curva C</t>
  </si>
  <si>
    <t>*QDG Disjuntor 3P / 100 A - Curva C</t>
  </si>
  <si>
    <t>*QDG  Disjuntor 3P / 50 A - Curva C</t>
  </si>
  <si>
    <t>*QDG Disjuntor 3P / 40 A - Curva C</t>
  </si>
  <si>
    <t>*QDG Disjuntor 2P / 32 A - Curva C</t>
  </si>
  <si>
    <t>*QD1 Quadro para Até 36 Espaços Sobrepor, com Barramento</t>
  </si>
  <si>
    <t>*QD1 Disjuntor 3P / 100 A - Curva C</t>
  </si>
  <si>
    <t>*QD1 Disjuntor 2P / 16 A - Curva C</t>
  </si>
  <si>
    <t>*QD1 Disjuntor 1P / 16 A - Curva C</t>
  </si>
  <si>
    <t>*QD2 Quadro para Até 15 Espaços Sobrepor, com Barramento</t>
  </si>
  <si>
    <t>*QD2 Disjuntor 3P / 40 A - Curva C</t>
  </si>
  <si>
    <t>*QD2 Disjuntor 1P / 16 A - Curva C</t>
  </si>
  <si>
    <t>*QDE-1 Quadro para Até 15 Espaços Sobrepor, com Barramento</t>
  </si>
  <si>
    <t>*QDE-1 Disjuntor 3P / 50 A - Curva C</t>
  </si>
  <si>
    <t>*QDE-1 Disjuntor 1P / 16 A - Curva C</t>
  </si>
  <si>
    <t>*QDAC-1 Quadro para Até 60 Espaços Sobrepor, com Barramento</t>
  </si>
  <si>
    <t>*QDAC-1 Disjuntor 3P / 200 A - Curva C</t>
  </si>
  <si>
    <t>*QDAC-1 Disjuntor 2P / 20 A - Curva C</t>
  </si>
  <si>
    <t>* Transformador de Foça Trifásico Classe 15 Kv, Pot Nom 150 KVA</t>
  </si>
  <si>
    <t>un</t>
  </si>
  <si>
    <t>* Poste Concreto Armado Seção Duplo T 11 m Tipo B - 600 DAM</t>
  </si>
  <si>
    <t>un</t>
  </si>
  <si>
    <t>* Pára-Raio Tipo Polimérico 5Ka/15Kv - com Suporte para Montagem de Cruzeta</t>
  </si>
  <si>
    <t>un</t>
  </si>
  <si>
    <t>* Cruzeta de Concreto Armado com 250 Damb - Comprimento de 2 m</t>
  </si>
  <si>
    <t>un</t>
  </si>
  <si>
    <t>* Isolador de Pedestal 15 KV, Tipo Polimérico</t>
  </si>
  <si>
    <t>un</t>
  </si>
  <si>
    <t>* Cinta para Transformador 185 x 95 mm</t>
  </si>
  <si>
    <t>un</t>
  </si>
  <si>
    <t>* Parafuso de Rosca Dupla Total - Diam 16 x 400 mm</t>
  </si>
  <si>
    <t>un</t>
  </si>
  <si>
    <t>* Parafuso de Cabeça Quadrada - Diam 16 x 225mm</t>
  </si>
  <si>
    <t>un</t>
  </si>
  <si>
    <t xml:space="preserve">* Parafuso de Cabeça Quadrada - Diam 16 x 130 mm </t>
  </si>
  <si>
    <t>un</t>
  </si>
  <si>
    <t>* Parafuso Tipo Frânces - Diam 16 x 45 mm</t>
  </si>
  <si>
    <t>un</t>
  </si>
  <si>
    <t>* Pino de Aço para isolador, com Cabeça de Chumbo, de 25 x 294 mm</t>
  </si>
  <si>
    <t>un</t>
  </si>
  <si>
    <t>* Arruela Quadrada - Diam 38 mm</t>
  </si>
  <si>
    <t>un</t>
  </si>
  <si>
    <t>* Conector Bimetálico para Cabo Número 2 AWG CA</t>
  </si>
  <si>
    <t>un</t>
  </si>
  <si>
    <t>* Cabeçote de Alumínio Fundido - Diam 4"</t>
  </si>
  <si>
    <t>un</t>
  </si>
  <si>
    <t>* Caixa Tipo EN</t>
  </si>
  <si>
    <t>un</t>
  </si>
  <si>
    <t>* Caixa Tipo FN para transformador</t>
  </si>
  <si>
    <t>un</t>
  </si>
  <si>
    <t>* Eletroduto de PVC Rígido Roscável Diam 85 mm (3"), com Luva</t>
  </si>
  <si>
    <t>m</t>
  </si>
  <si>
    <t>* Eletroduto de PVC Rígido Roscável Diam 25 mm (3/4"), com Luva</t>
  </si>
  <si>
    <t>m</t>
  </si>
  <si>
    <t>* Curva 90o para Eletroduto de PVC Diam 85 mm (3"), com Luva</t>
  </si>
  <si>
    <t>un</t>
  </si>
  <si>
    <t>* Curva 90o para Eletroduto de PVC Diam 25 mm (3/4"), com Luva</t>
  </si>
  <si>
    <t>un</t>
  </si>
  <si>
    <t>* Bucha e Arruela para Eletroduto Diam 75 mm</t>
  </si>
  <si>
    <t>un</t>
  </si>
  <si>
    <t>* Bucha e Arruela para Eletroduto Diam 25 mm</t>
  </si>
  <si>
    <t>un</t>
  </si>
  <si>
    <t>* Quadro Sobrepor H=1000, L= 800, P=300 + Dijuntor Termomagnético Tripolar 400 A</t>
  </si>
  <si>
    <t>un</t>
  </si>
  <si>
    <t>* Cabo Cobre com Isolamento PVC 750 V # 2,5 mm²</t>
  </si>
  <si>
    <t>m</t>
  </si>
  <si>
    <t>* Cabo Cobre Nú # 35 mm²</t>
  </si>
  <si>
    <t>m</t>
  </si>
  <si>
    <t>* Condutor Cobre com Isolamento PVC 750 V # 95 mm²</t>
  </si>
  <si>
    <t>un</t>
  </si>
  <si>
    <t>* Condutor Cobre com Isolamento PVC 750 V # 70 mm²</t>
  </si>
  <si>
    <t>m</t>
  </si>
  <si>
    <t>* Caixa Concreto  Lateral/Funos CS e Tampa CA - 30 x 30 x 30 cm</t>
  </si>
  <si>
    <t xml:space="preserve">un </t>
  </si>
  <si>
    <t>* Haste de Aterramento Diam 16 x 3000 mm (Alta Camada)</t>
  </si>
  <si>
    <t>un</t>
  </si>
  <si>
    <t>* Solda Exotérmica - Cabo #70 mm² x 50 mm²</t>
  </si>
  <si>
    <t>un</t>
  </si>
  <si>
    <t>* Conector Split Bolt # 50 mm² - Para Haste Terra</t>
  </si>
  <si>
    <t>un</t>
  </si>
  <si>
    <t>* Fita Colorida para Marcação de Fases</t>
  </si>
  <si>
    <t>un</t>
  </si>
  <si>
    <t>* Caixa de  Alvenaria Fundo/Tampa em Concreto Armado 80 x 80  x 80 cm</t>
  </si>
  <si>
    <t>un</t>
  </si>
  <si>
    <t>* Infraestrutura para Posto de Transformação</t>
  </si>
  <si>
    <t>vb</t>
  </si>
  <si>
    <t>* Cabo Cobre Nú # 50 mm²</t>
  </si>
  <si>
    <t>m</t>
  </si>
  <si>
    <t>* Haste de Aterramento Diam 16 x 3000 mm (Alta Camada)</t>
  </si>
  <si>
    <t>un</t>
  </si>
  <si>
    <t>* Caixa Concreto  Lateral/Funos CS e Tampa CA - 30 x 30 x 30 cm</t>
  </si>
  <si>
    <t xml:space="preserve">un </t>
  </si>
  <si>
    <t>* Molde para Solda Exotérmica - MGY2 1650</t>
  </si>
  <si>
    <t>un</t>
  </si>
  <si>
    <t>* Molde para Solda Exotérmica - MGR2 1650</t>
  </si>
  <si>
    <t>un</t>
  </si>
  <si>
    <t>* Molde para Solda Exotérmica - MXB2 5050</t>
  </si>
  <si>
    <t>un</t>
  </si>
  <si>
    <t>* Cartucho  para Solda - Nº 90</t>
  </si>
  <si>
    <t>un</t>
  </si>
  <si>
    <t>* Cartucho  para Solda - Nº 115</t>
  </si>
  <si>
    <t>un</t>
  </si>
  <si>
    <t>* Cartucho para Solda Exotérmica - nº 150</t>
  </si>
  <si>
    <t>un</t>
  </si>
  <si>
    <t>* Escova Plana</t>
  </si>
  <si>
    <t>un</t>
  </si>
  <si>
    <t>* Limpador de Molde</t>
  </si>
  <si>
    <t>un</t>
  </si>
  <si>
    <t>* Alicate de Manuseio - Ref M 84</t>
  </si>
  <si>
    <t>un</t>
  </si>
  <si>
    <t>* Alicate de Manuseio - Ref M 160</t>
  </si>
  <si>
    <t>un</t>
  </si>
  <si>
    <t>* Caixa Concreto  Lateral/Funos CS e Tampa CA - 30 x 30 x 30 cm</t>
  </si>
  <si>
    <t xml:space="preserve">un </t>
  </si>
  <si>
    <t>SPDA</t>
  </si>
  <si>
    <t>* Cabo Cobre Nú # 35 mm²</t>
  </si>
  <si>
    <t>m</t>
  </si>
  <si>
    <t>* Conector Bronze Tipo Cabo-Chapa - Para Cabo Cobre # 35 mm²</t>
  </si>
  <si>
    <t>un</t>
  </si>
  <si>
    <t>* Terminal Aéreo H=350 mm - Diam 3/8"</t>
  </si>
  <si>
    <t>un</t>
  </si>
  <si>
    <t>* Arruela Borracha - Diam 1/4"</t>
  </si>
  <si>
    <t>un</t>
  </si>
  <si>
    <t>* Clip Galvanizado - Diam 3/8"</t>
  </si>
  <si>
    <t>un</t>
  </si>
  <si>
    <t>* Molde para Solda Exotérmica - MTB2 3535</t>
  </si>
  <si>
    <t>un</t>
  </si>
  <si>
    <t>* Molde para Solda Exotérmica - MRJ2 6150</t>
  </si>
  <si>
    <t>un</t>
  </si>
  <si>
    <t>* Molde para Solda Exotérmica - MRJ2 6135</t>
  </si>
  <si>
    <t>un</t>
  </si>
  <si>
    <t>* Molde para Solda Exotérmica - MFB2 35</t>
  </si>
  <si>
    <t>un</t>
  </si>
  <si>
    <t>* Cartucho  para Solda - Nº 65</t>
  </si>
  <si>
    <t>un</t>
  </si>
  <si>
    <t>* Cartucho  para Solda - Nº 115</t>
  </si>
  <si>
    <t>un</t>
  </si>
  <si>
    <t>* Cartucho  para Solda - Nº 32</t>
  </si>
  <si>
    <t>un</t>
  </si>
  <si>
    <t>* Vergalhão Cobreado para Descida de Para-Raios - Diam 3/8" x 4 m</t>
  </si>
  <si>
    <t>un</t>
  </si>
  <si>
    <t>20.0</t>
  </si>
  <si>
    <t>Limpeza e Verificação Final</t>
  </si>
  <si>
    <t>20.1</t>
  </si>
  <si>
    <t>* Limpeza Geral de Obra</t>
  </si>
  <si>
    <t>m2</t>
  </si>
  <si>
    <t>20.2</t>
  </si>
  <si>
    <t>* Desmobilização</t>
  </si>
  <si>
    <t>vb</t>
  </si>
  <si>
    <t xml:space="preserve">Total do Orçamento Sem  BDI: </t>
  </si>
  <si>
    <t>Total dos Custos:</t>
  </si>
  <si>
    <t>Total dos Custos dos Materiais</t>
  </si>
  <si>
    <t>Total dos Custos dos Equipamentos</t>
  </si>
  <si>
    <t>Total do Orçamento</t>
  </si>
  <si>
    <t>PLANILHA DE PREÇOS</t>
  </si>
  <si>
    <t>OBRA: Fórum Comarca Ortigueira</t>
  </si>
  <si>
    <t>Item</t>
  </si>
  <si>
    <t>Descrição</t>
  </si>
  <si>
    <t>Quant</t>
  </si>
  <si>
    <t xml:space="preserve"> Un </t>
  </si>
  <si>
    <t>Unitário</t>
  </si>
  <si>
    <t>Total</t>
  </si>
  <si>
    <t>1.0</t>
  </si>
  <si>
    <t>Preliminares</t>
  </si>
  <si>
    <t>1.1</t>
  </si>
  <si>
    <t>* Imposto e Taxas Necessárias para Execução da Obra</t>
  </si>
  <si>
    <t>vb</t>
  </si>
  <si>
    <t>1.2</t>
  </si>
  <si>
    <t>* Seguro da Obra</t>
  </si>
  <si>
    <t>vb</t>
  </si>
  <si>
    <t>1.3</t>
  </si>
  <si>
    <t>* Barracão de Obra - com Piso em Concreto</t>
  </si>
  <si>
    <t>m2</t>
  </si>
  <si>
    <t>1.4</t>
  </si>
  <si>
    <t>* Instalação Provisória de Água e Esgoto</t>
  </si>
  <si>
    <t>un</t>
  </si>
  <si>
    <t>1.5</t>
  </si>
  <si>
    <t>* Instalação Provisória de Luz em Obra</t>
  </si>
  <si>
    <t>un</t>
  </si>
  <si>
    <t>1.6</t>
  </si>
  <si>
    <t>* Tapume em Chapa 6 mm - H=2,20</t>
  </si>
  <si>
    <t>m²</t>
  </si>
  <si>
    <t>1.7</t>
  </si>
  <si>
    <t>* Placa de Obra - Chapa Galvanizada, Pintura Tinta Automotiva</t>
  </si>
  <si>
    <t>vb</t>
  </si>
  <si>
    <t>1.8</t>
  </si>
  <si>
    <t>* Locação de Obra</t>
  </si>
  <si>
    <t>m²</t>
  </si>
  <si>
    <t>2.0</t>
  </si>
  <si>
    <t>Movimento de Terra</t>
  </si>
  <si>
    <t>2.1</t>
  </si>
  <si>
    <t>* Raspagem e Limpeza de Terreno</t>
  </si>
  <si>
    <t>m²</t>
  </si>
  <si>
    <t>2.2</t>
  </si>
  <si>
    <t>* Corte Mecânico com Regularização e Bota Fora - Exeto Rocha</t>
  </si>
  <si>
    <t>m³</t>
  </si>
  <si>
    <t>2.3</t>
  </si>
  <si>
    <t>* Regularização Mecânica em Terreno</t>
  </si>
  <si>
    <t>m³</t>
  </si>
  <si>
    <t>2.4</t>
  </si>
  <si>
    <t>* Aterro Compactado Mecanicamente</t>
  </si>
  <si>
    <t>m³</t>
  </si>
  <si>
    <t>3.0</t>
  </si>
  <si>
    <t>Fundações</t>
  </si>
  <si>
    <t>3.1</t>
  </si>
  <si>
    <t>* Estaca Pre-Moldada 15 x 15 cm - com Mobilização</t>
  </si>
  <si>
    <t>m</t>
  </si>
  <si>
    <t>3.2</t>
  </si>
  <si>
    <t>* Estaca Pre-Moldada 18 x 18 cm - com Mobilização</t>
  </si>
  <si>
    <t>m</t>
  </si>
  <si>
    <t>3.3</t>
  </si>
  <si>
    <t>* Impermeabilizaçãode Bald. -Argamassa Polimérica, Reg e Prot Mec</t>
  </si>
  <si>
    <t>* Alvenaria Tijolos (9 x 14 x 21) E=20 cm, Arg Mista 1:4+130Kg cim/m³</t>
  </si>
  <si>
    <t>* Alvenaria Tijolos (9 x 14 x 21) E=14 cm, Arg Mista 1:4+130Kg cim/m³</t>
  </si>
  <si>
    <t>* Regularização Piso Argamassa de Cimento/Areia - Para Cerâmica</t>
  </si>
  <si>
    <t>* Cerâmica  Eliane Urbanos Bone 31x31 Rejunte Creme - Assent  Ar</t>
  </si>
  <si>
    <t>* Rodapé Cerâmico Eliane Urbanus Bone 7,5x31 cm - Assent Arg Mista</t>
  </si>
  <si>
    <t>* Estaca Pre-Moldada 20 x 20 cm - com Mobilização</t>
  </si>
  <si>
    <t>m</t>
  </si>
  <si>
    <t>3.4</t>
  </si>
  <si>
    <t>* Estaca Pre-Moldada 23 x 23 cm - com Mobilização</t>
  </si>
  <si>
    <t>m</t>
  </si>
  <si>
    <t>Blocos e Vigas</t>
  </si>
  <si>
    <t>3.5</t>
  </si>
  <si>
    <t>* Lastro de Brita</t>
  </si>
  <si>
    <t>m³</t>
  </si>
  <si>
    <t>3.6</t>
  </si>
  <si>
    <t>* Lastro Impermeabilizado de Concreto não Estrutural - 10 cm</t>
  </si>
  <si>
    <t>m²</t>
  </si>
  <si>
    <t>3.7</t>
  </si>
  <si>
    <t>* Forma de Madeira para Fundações em Concreto Armado</t>
  </si>
  <si>
    <t>m2</t>
  </si>
  <si>
    <t>3.8</t>
  </si>
  <si>
    <t>* Aço CA 50/60</t>
  </si>
  <si>
    <t>kg</t>
  </si>
  <si>
    <t>3.9</t>
  </si>
  <si>
    <t>* Concreto Estrutural Usinado - FCK 20 MPA</t>
  </si>
  <si>
    <t>m³</t>
  </si>
  <si>
    <t>4.1</t>
  </si>
  <si>
    <t>* Forma de Madeira para Estruturas em Concreto Armado</t>
  </si>
  <si>
    <t>m2</t>
  </si>
  <si>
    <t>4.2</t>
  </si>
  <si>
    <t>* Aço CA 50/60</t>
  </si>
  <si>
    <t>kg</t>
  </si>
  <si>
    <t>4.3</t>
  </si>
  <si>
    <t>* Concreto Estrutural Usinado - FCK 20 MPA</t>
  </si>
  <si>
    <t>m³</t>
  </si>
  <si>
    <t>4.4</t>
  </si>
  <si>
    <t>* Laje Treliçada - Para Treliça 12 á 20 cm</t>
  </si>
  <si>
    <t>m²</t>
  </si>
  <si>
    <t>4.5</t>
  </si>
  <si>
    <t>* Laje Pré-Moldada para Forro - Tijolo de Barro - Inc Esc - Sc=0,15 t/m²</t>
  </si>
  <si>
    <t>m²</t>
  </si>
  <si>
    <t>4.6</t>
  </si>
  <si>
    <t>* Junta de Dilatação</t>
  </si>
  <si>
    <t>m</t>
  </si>
  <si>
    <t>4.7</t>
  </si>
  <si>
    <t>* Verga e Contra Verga para Alvenaria com E=20 cm, H=20 cm</t>
  </si>
  <si>
    <t>un</t>
  </si>
  <si>
    <t>4.8</t>
  </si>
  <si>
    <t>* Controle Tecnológico de Concreto</t>
  </si>
  <si>
    <t>vb</t>
  </si>
  <si>
    <t>5.0</t>
  </si>
  <si>
    <t>Impermeabilização</t>
  </si>
  <si>
    <t>5.1</t>
  </si>
  <si>
    <t>m²</t>
  </si>
  <si>
    <t>5.2</t>
  </si>
  <si>
    <t>* Impermeabilização Laje - Reg e Prot Mec, Imprimação  e Manta 4 mm</t>
  </si>
  <si>
    <t>m²</t>
  </si>
  <si>
    <t>6.0</t>
  </si>
  <si>
    <t>Alvenarias e Outras Vedações</t>
  </si>
  <si>
    <t>alvenaria ou blocos</t>
  </si>
  <si>
    <t>6.1</t>
  </si>
  <si>
    <t>m²</t>
  </si>
  <si>
    <t>6.2</t>
  </si>
  <si>
    <t>m²</t>
  </si>
  <si>
    <t>6.3</t>
  </si>
  <si>
    <t>* Parede em Bloco de Vidro 19 x 19 x 9 cm - Esp 9 cm</t>
  </si>
  <si>
    <t>m²</t>
  </si>
  <si>
    <t>6.4</t>
  </si>
  <si>
    <t>* Divisória Melamínica E=10 mm, com montantes em Alumínio</t>
  </si>
  <si>
    <t>m²</t>
  </si>
  <si>
    <t>6.5</t>
  </si>
  <si>
    <t>Base Revestimentos  Internos</t>
  </si>
  <si>
    <t>Base revestimentos  Externos</t>
  </si>
  <si>
    <t>Revestimentos   Acabamentos</t>
  </si>
  <si>
    <t>Esquadrias de Alumino</t>
  </si>
  <si>
    <t>Esquadrias de Madeira</t>
  </si>
  <si>
    <t>Esquadrias de ferro</t>
  </si>
  <si>
    <t>Instalações</t>
  </si>
  <si>
    <t>Elevadores</t>
  </si>
  <si>
    <t>Limpeza Final e serv compl.Chaves</t>
  </si>
  <si>
    <t>Alvenarias e Cobertura</t>
  </si>
  <si>
    <t>Adm.Local ,Manut.Cant,Transp Horiz.</t>
  </si>
  <si>
    <t>Implantaç. Cant.+ Loc Obra</t>
  </si>
  <si>
    <t>% Gb</t>
  </si>
  <si>
    <t>Louças , Metais  , AQ, Tampos,Int+Tom</t>
  </si>
  <si>
    <t xml:space="preserve">Pastilhas e Granitos </t>
  </si>
  <si>
    <t>Projetos ,Planejam.  Consultoria</t>
  </si>
  <si>
    <t>Segurança dos Trabalhos</t>
  </si>
  <si>
    <t xml:space="preserve">Fundações                </t>
  </si>
  <si>
    <t>Estrutura  Vigas, Pil., Lajes</t>
  </si>
  <si>
    <t>Auditorio</t>
  </si>
  <si>
    <t>Didatico</t>
  </si>
  <si>
    <t>Clinicas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</si>
  <si>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</si>
  <si>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</si>
  <si>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</si>
  <si>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</si>
  <si>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</si>
  <si>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</si>
  <si>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</si>
  <si>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</si>
  <si>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</si>
  <si>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</si>
  <si>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</si>
  <si>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</si>
  <si>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13º Mês</t>
  </si>
  <si>
    <t>14º Mês</t>
  </si>
  <si>
    <t>15º Mês</t>
  </si>
  <si>
    <t>16º Mês</t>
  </si>
  <si>
    <t>17º Mês</t>
  </si>
  <si>
    <t>18º Mês</t>
  </si>
  <si>
    <t>Cronograma Desembolso</t>
  </si>
  <si>
    <t>Serviços Externos /Implantação</t>
  </si>
  <si>
    <t>Somente Bloco Didático e Vivência e Area Externa</t>
  </si>
  <si>
    <t>Somente Bloco Clínicas</t>
  </si>
  <si>
    <t xml:space="preserve">Término Clínicas + Bloco Auditório </t>
  </si>
  <si>
    <t xml:space="preserve">Impermeabilização </t>
  </si>
  <si>
    <t>Alvenarias e Divisorias de BWC</t>
  </si>
  <si>
    <t>Esquadrias de Ferro com vidro</t>
  </si>
  <si>
    <t>Revestimentos Piso +Paredes+Tetos</t>
  </si>
  <si>
    <t>Instalações ELE e outros</t>
  </si>
  <si>
    <t>Instalações HIDROSAN e INC</t>
  </si>
  <si>
    <t xml:space="preserve">Serviços Preliminares </t>
  </si>
  <si>
    <t>Adm.Local ,Manut.Cant,Transp.</t>
  </si>
  <si>
    <t>Cobertura metalica</t>
  </si>
  <si>
    <t>Cobertura Verde</t>
  </si>
  <si>
    <t>SOMENTE BLOCO DIDÁTICO E VIVÊNCIA</t>
  </si>
  <si>
    <t>SOMENTE BLOCO CLÍNICAS</t>
  </si>
  <si>
    <t>TÉRMINO CLÍNICA + BLOCO AUDITÓRIO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</si>
</sst>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&quot;R$ &quot;#,##0.00"/>
    <numFmt numFmtId="166" formatCode="0.0%"/>
    <numFmt numFmtId="167" formatCode="0.000%"/>
    <numFmt numFmtId="168" formatCode="[$-416]d\-mmm\-yy;@"/>
    <numFmt numFmtId="169" formatCode="&quot;R$ &quot;#,##0.0"/>
    <numFmt numFmtId="170" formatCode="\R\$#,##0.00\ &quot; /m2&quot;"/>
    <numFmt numFmtId="171" formatCode="0.00&quot; m2&quot;"/>
    <numFmt numFmtId="172" formatCode="#,##0.0"/>
    <numFmt numFmtId="173" formatCode="_(&quot;Cr$&quot;* #,##0.00_);_(&quot;Cr$&quot;* \(#,##0.00\);_(&quot;Cr$&quot;* &quot;-&quot;??_);_(@_)"/>
    <numFmt numFmtId="174" formatCode="&quot;Cr$&quot;#,##0_);[Red]\(&quot;Cr$&quot;#,##0\)"/>
    <numFmt numFmtId="175" formatCode="_(&quot;R$&quot;\ * #,##0.00_);_(&quot;R$&quot;\ * \(#,##0.00\);_(&quot;R$&quot;\ * &quot;-&quot;??_);_(@_)"/>
    <numFmt numFmtId="176" formatCode="&quot;R$&quot;\ #,##0"/>
    <numFmt numFmtId="177" formatCode="_(&quot;R$&quot;\ * #,##0_);_(&quot;R$&quot;\ * \(#,##0\);_(&quot;R$&quot;\ * &quot;-&quot;_);_(@_)"/>
    <numFmt numFmtId="178" formatCode="_(&quot;R$&quot;* #,##0.00_);_(&quot;R$&quot;* \(#,##0.00\);_(&quot;R$&quot;* &quot;-&quot;??_);_(@_)"/>
    <numFmt numFmtId="179" formatCode="[$-416]mmm\-yy;@"/>
    <numFmt numFmtId="180" formatCode="&quot;R$&quot;\ #,##0.00"/>
    <numFmt numFmtId="181" formatCode="0.0000%"/>
  </numFmts>
  <fonts count="3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BankGothic Lt BT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2"/>
      <name val="BankGothic Lt BT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9"/>
      <name val="BankGothic Lt BT"/>
      <family val="2"/>
    </font>
    <font>
      <sz val="11"/>
      <name val="BankGothic Lt BT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b/>
      <sz val="10"/>
      <name val="BankGothic Lt BT"/>
      <family val="2"/>
    </font>
    <font>
      <sz val="10"/>
      <name val="BankGothic Lt BT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8DFDA0"/>
        <bgColor indexed="64"/>
      </patternFill>
    </fill>
  </fills>
  <borders count="215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8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medium">
        <color indexed="64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 style="medium">
        <color indexed="64"/>
      </right>
      <top style="medium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medium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/>
      <diagonal/>
    </border>
    <border>
      <left style="medium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8"/>
      </right>
      <top/>
      <bottom style="medium">
        <color indexed="8"/>
      </bottom>
      <diagonal/>
    </border>
    <border>
      <left style="hair">
        <color indexed="64"/>
      </left>
      <right/>
      <top style="medium">
        <color indexed="8"/>
      </top>
      <bottom/>
      <diagonal/>
    </border>
    <border>
      <left style="hair">
        <color indexed="64"/>
      </left>
      <right style="hair">
        <color indexed="8"/>
      </right>
      <top style="thin">
        <color indexed="8"/>
      </top>
      <bottom/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medium">
        <color indexed="8"/>
      </top>
      <bottom/>
      <diagonal/>
    </border>
    <border>
      <left style="hair">
        <color indexed="64"/>
      </left>
      <right style="hair">
        <color indexed="8"/>
      </right>
      <top/>
      <bottom/>
      <diagonal/>
    </border>
    <border>
      <left style="hair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64"/>
      </left>
      <right/>
      <top style="medium">
        <color indexed="8"/>
      </top>
      <bottom style="medium">
        <color indexed="8"/>
      </bottom>
      <diagonal/>
    </border>
    <border>
      <left style="hair">
        <color indexed="64"/>
      </left>
      <right/>
      <top style="thin">
        <color indexed="8"/>
      </top>
      <bottom style="thin">
        <color indexed="8"/>
      </bottom>
      <diagonal/>
    </border>
    <border>
      <left style="hair">
        <color indexed="64"/>
      </left>
      <right/>
      <top/>
      <bottom style="medium">
        <color indexed="8"/>
      </bottom>
      <diagonal/>
    </border>
    <border>
      <left style="hair">
        <color indexed="8"/>
      </left>
      <right/>
      <top/>
      <bottom style="medium">
        <color indexed="8"/>
      </bottom>
      <diagonal/>
    </border>
    <border>
      <left style="hair">
        <color indexed="64"/>
      </left>
      <right style="hair">
        <color indexed="64"/>
      </right>
      <top/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64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 style="medium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8"/>
      </bottom>
      <diagonal/>
    </border>
    <border>
      <left/>
      <right style="hair">
        <color indexed="64"/>
      </right>
      <top style="medium">
        <color indexed="8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/>
      <bottom style="medium">
        <color indexed="8"/>
      </bottom>
      <diagonal/>
    </border>
    <border>
      <left/>
      <right style="hair">
        <color indexed="64"/>
      </right>
      <top style="medium">
        <color indexed="8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8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 style="medium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8"/>
      </top>
      <bottom style="thin">
        <color indexed="8"/>
      </bottom>
      <diagonal/>
    </border>
    <border>
      <left/>
      <right style="hair">
        <color indexed="64"/>
      </right>
      <top style="thin">
        <color indexed="8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medium">
        <color indexed="8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8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medium">
        <color indexed="8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medium">
        <color indexed="8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4" fillId="0" borderId="1">
      <alignment wrapText="1"/>
    </xf>
    <xf numFmtId="9" fontId="15" fillId="0" borderId="0" applyFont="0" applyFill="0" applyBorder="0" applyAlignment="0" applyProtection="0"/>
    <xf numFmtId="0" fontId="3" fillId="0" borderId="0"/>
    <xf numFmtId="0" fontId="16" fillId="0" borderId="0"/>
    <xf numFmtId="9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5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75" fontId="17" fillId="0" borderId="0" applyFont="0" applyFill="0" applyBorder="0" applyAlignment="0" applyProtection="0"/>
    <xf numFmtId="177" fontId="17" fillId="0" borderId="0" applyFont="0" applyFill="0" applyBorder="0" applyAlignment="0" applyProtection="0"/>
    <xf numFmtId="172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5" fontId="17" fillId="0" borderId="0" applyFont="0" applyFill="0" applyBorder="0" applyAlignment="0" applyProtection="0"/>
    <xf numFmtId="0" fontId="4" fillId="0" borderId="0"/>
    <xf numFmtId="178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0" fontId="1" fillId="0" borderId="0"/>
    <xf numFmtId="0" fontId="4" fillId="0" borderId="0"/>
    <xf numFmtId="17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170" fontId="4" fillId="0" borderId="0" applyFont="0" applyFill="0" applyBorder="0" applyAlignment="0" applyProtection="0"/>
    <xf numFmtId="44" fontId="21" fillId="0" borderId="0" applyFont="0" applyFill="0" applyBorder="0" applyAlignment="0" applyProtection="0"/>
  </cellStyleXfs>
  <cellXfs count="594">
    <xf numFmtId="0" fontId="4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4" fontId="6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justify" vertical="center"/>
    </xf>
    <xf numFmtId="4" fontId="6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4" fontId="4" fillId="0" borderId="11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4" fontId="5" fillId="0" borderId="1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10" fontId="4" fillId="0" borderId="15" xfId="2" applyNumberFormat="1" applyFont="1" applyBorder="1" applyAlignment="1">
      <alignment horizontal="justify" vertical="center"/>
    </xf>
    <xf numFmtId="10" fontId="4" fillId="0" borderId="16" xfId="2" applyNumberFormat="1" applyFont="1" applyBorder="1" applyAlignment="1">
      <alignment horizontal="justify" vertical="center"/>
    </xf>
    <xf numFmtId="10" fontId="4" fillId="0" borderId="17" xfId="2" applyNumberFormat="1" applyFont="1" applyBorder="1" applyAlignment="1">
      <alignment horizontal="justify" vertical="center"/>
    </xf>
    <xf numFmtId="167" fontId="4" fillId="0" borderId="17" xfId="2" applyNumberFormat="1" applyFont="1" applyBorder="1" applyAlignment="1">
      <alignment horizontal="justify" vertical="center"/>
    </xf>
    <xf numFmtId="10" fontId="4" fillId="0" borderId="18" xfId="2" applyNumberFormat="1" applyFont="1" applyBorder="1" applyAlignment="1">
      <alignment horizontal="justify" vertical="center"/>
    </xf>
    <xf numFmtId="167" fontId="4" fillId="0" borderId="18" xfId="2" applyNumberFormat="1" applyFont="1" applyBorder="1" applyAlignment="1">
      <alignment horizontal="justify" vertical="center"/>
    </xf>
    <xf numFmtId="0" fontId="6" fillId="0" borderId="17" xfId="0" applyFont="1" applyBorder="1" applyAlignment="1">
      <alignment horizontal="justify" vertical="center"/>
    </xf>
    <xf numFmtId="0" fontId="4" fillId="0" borderId="17" xfId="0" applyFont="1" applyBorder="1" applyAlignment="1">
      <alignment horizontal="justify" vertical="center"/>
    </xf>
    <xf numFmtId="4" fontId="6" fillId="2" borderId="19" xfId="0" applyNumberFormat="1" applyFont="1" applyFill="1" applyBorder="1" applyAlignment="1">
      <alignment horizontal="center" vertical="center"/>
    </xf>
    <xf numFmtId="4" fontId="6" fillId="2" borderId="2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4" fontId="6" fillId="0" borderId="15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justify" vertical="center"/>
    </xf>
    <xf numFmtId="0" fontId="4" fillId="0" borderId="15" xfId="0" applyFont="1" applyBorder="1" applyAlignment="1">
      <alignment horizontal="justify" vertical="center"/>
    </xf>
    <xf numFmtId="4" fontId="8" fillId="0" borderId="2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165" fontId="4" fillId="0" borderId="0" xfId="0" applyNumberFormat="1" applyFont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8" fillId="2" borderId="22" xfId="0" applyNumberFormat="1" applyFont="1" applyFill="1" applyBorder="1" applyAlignment="1">
      <alignment horizontal="center" vertical="center"/>
    </xf>
    <xf numFmtId="165" fontId="4" fillId="0" borderId="23" xfId="0" applyNumberFormat="1" applyFont="1" applyBorder="1" applyAlignment="1">
      <alignment horizontal="center" vertical="center"/>
    </xf>
    <xf numFmtId="165" fontId="4" fillId="0" borderId="24" xfId="0" applyNumberFormat="1" applyFont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165" fontId="8" fillId="2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165" fontId="4" fillId="0" borderId="25" xfId="0" applyNumberFormat="1" applyFont="1" applyBorder="1" applyAlignment="1">
      <alignment horizontal="center" vertical="center"/>
    </xf>
    <xf numFmtId="165" fontId="5" fillId="0" borderId="13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0" fontId="4" fillId="0" borderId="26" xfId="2" applyNumberFormat="1" applyFont="1" applyBorder="1" applyAlignment="1">
      <alignment horizontal="justify" vertical="center"/>
    </xf>
    <xf numFmtId="10" fontId="4" fillId="0" borderId="27" xfId="2" applyNumberFormat="1" applyFont="1" applyBorder="1" applyAlignment="1">
      <alignment horizontal="justify" vertical="center"/>
    </xf>
    <xf numFmtId="167" fontId="4" fillId="0" borderId="27" xfId="2" applyNumberFormat="1" applyFont="1" applyBorder="1" applyAlignment="1">
      <alignment horizontal="justify" vertical="center"/>
    </xf>
    <xf numFmtId="0" fontId="6" fillId="2" borderId="28" xfId="0" applyFont="1" applyFill="1" applyBorder="1" applyAlignment="1">
      <alignment horizontal="justify" vertical="center"/>
    </xf>
    <xf numFmtId="0" fontId="6" fillId="2" borderId="29" xfId="0" applyFont="1" applyFill="1" applyBorder="1" applyAlignment="1">
      <alignment horizontal="justify" vertical="center"/>
    </xf>
    <xf numFmtId="167" fontId="6" fillId="2" borderId="29" xfId="2" applyNumberFormat="1" applyFont="1" applyFill="1" applyBorder="1" applyAlignment="1">
      <alignment horizontal="justify" vertical="center"/>
    </xf>
    <xf numFmtId="10" fontId="6" fillId="2" borderId="29" xfId="2" applyNumberFormat="1" applyFont="1" applyFill="1" applyBorder="1" applyAlignment="1">
      <alignment horizontal="justify" vertical="center"/>
    </xf>
    <xf numFmtId="10" fontId="4" fillId="0" borderId="30" xfId="2" applyNumberFormat="1" applyFont="1" applyBorder="1" applyAlignment="1">
      <alignment horizontal="justify" vertical="center"/>
    </xf>
    <xf numFmtId="10" fontId="4" fillId="0" borderId="31" xfId="2" applyNumberFormat="1" applyFont="1" applyBorder="1" applyAlignment="1">
      <alignment horizontal="justify" vertical="center"/>
    </xf>
    <xf numFmtId="167" fontId="4" fillId="0" borderId="31" xfId="2" applyNumberFormat="1" applyFont="1" applyBorder="1" applyAlignment="1">
      <alignment horizontal="justify" vertical="center"/>
    </xf>
    <xf numFmtId="4" fontId="6" fillId="2" borderId="32" xfId="0" applyNumberFormat="1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justify" vertical="center"/>
    </xf>
    <xf numFmtId="167" fontId="4" fillId="0" borderId="0" xfId="0" applyNumberFormat="1" applyFont="1" applyBorder="1" applyAlignment="1">
      <alignment horizontal="justify" vertical="center"/>
    </xf>
    <xf numFmtId="167" fontId="4" fillId="0" borderId="34" xfId="0" applyNumberFormat="1" applyFont="1" applyBorder="1" applyAlignment="1">
      <alignment horizontal="justify" vertical="center"/>
    </xf>
    <xf numFmtId="167" fontId="8" fillId="0" borderId="0" xfId="0" applyNumberFormat="1" applyFont="1" applyBorder="1" applyAlignment="1">
      <alignment horizontal="justify" vertical="center"/>
    </xf>
    <xf numFmtId="167" fontId="8" fillId="0" borderId="35" xfId="0" applyNumberFormat="1" applyFont="1" applyBorder="1" applyAlignment="1">
      <alignment horizontal="justify" vertical="center"/>
    </xf>
    <xf numFmtId="4" fontId="4" fillId="0" borderId="15" xfId="0" applyNumberFormat="1" applyFont="1" applyBorder="1" applyAlignment="1">
      <alignment horizontal="justify" vertical="center"/>
    </xf>
    <xf numFmtId="167" fontId="4" fillId="0" borderId="15" xfId="2" applyNumberFormat="1" applyFont="1" applyBorder="1" applyAlignment="1">
      <alignment horizontal="justify" vertical="center"/>
    </xf>
    <xf numFmtId="167" fontId="8" fillId="0" borderId="36" xfId="0" applyNumberFormat="1" applyFont="1" applyBorder="1" applyAlignment="1">
      <alignment horizontal="justify" vertical="center"/>
    </xf>
    <xf numFmtId="0" fontId="8" fillId="0" borderId="16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 wrapText="1"/>
    </xf>
    <xf numFmtId="4" fontId="8" fillId="0" borderId="35" xfId="0" applyNumberFormat="1" applyFont="1" applyBorder="1" applyAlignment="1">
      <alignment horizontal="center" vertical="center"/>
    </xf>
    <xf numFmtId="165" fontId="8" fillId="0" borderId="35" xfId="0" applyNumberFormat="1" applyFont="1" applyBorder="1" applyAlignment="1">
      <alignment horizontal="right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5" fontId="4" fillId="0" borderId="34" xfId="0" applyNumberFormat="1" applyFont="1" applyBorder="1" applyAlignment="1">
      <alignment horizontal="center" vertical="center"/>
    </xf>
    <xf numFmtId="165" fontId="4" fillId="0" borderId="13" xfId="0" applyNumberFormat="1" applyFont="1" applyBorder="1" applyAlignment="1">
      <alignment horizontal="center" vertical="center"/>
    </xf>
    <xf numFmtId="165" fontId="8" fillId="2" borderId="39" xfId="0" applyNumberFormat="1" applyFont="1" applyFill="1" applyBorder="1" applyAlignment="1">
      <alignment horizontal="center" vertical="center"/>
    </xf>
    <xf numFmtId="165" fontId="4" fillId="0" borderId="40" xfId="0" applyNumberFormat="1" applyFont="1" applyBorder="1" applyAlignment="1">
      <alignment horizontal="center" vertical="center"/>
    </xf>
    <xf numFmtId="165" fontId="4" fillId="0" borderId="35" xfId="0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left" vertical="center" wrapText="1"/>
    </xf>
    <xf numFmtId="4" fontId="4" fillId="0" borderId="4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5" fillId="0" borderId="42" xfId="0" applyFont="1" applyBorder="1" applyAlignment="1">
      <alignment horizontal="left" vertical="center" wrapText="1"/>
    </xf>
    <xf numFmtId="4" fontId="4" fillId="0" borderId="42" xfId="0" applyNumberFormat="1" applyFont="1" applyBorder="1" applyAlignment="1">
      <alignment horizontal="center" vertical="center"/>
    </xf>
    <xf numFmtId="0" fontId="6" fillId="2" borderId="43" xfId="0" applyFont="1" applyFill="1" applyBorder="1" applyAlignment="1">
      <alignment horizontal="left" vertical="center" wrapText="1"/>
    </xf>
    <xf numFmtId="4" fontId="6" fillId="2" borderId="43" xfId="0" applyNumberFormat="1" applyFont="1" applyFill="1" applyBorder="1" applyAlignment="1">
      <alignment horizontal="center" vertical="center"/>
    </xf>
    <xf numFmtId="0" fontId="4" fillId="0" borderId="44" xfId="0" applyFont="1" applyBorder="1" applyAlignment="1">
      <alignment horizontal="left" vertical="center" wrapText="1"/>
    </xf>
    <xf numFmtId="4" fontId="4" fillId="0" borderId="44" xfId="0" applyNumberFormat="1" applyFont="1" applyBorder="1" applyAlignment="1">
      <alignment horizontal="center" vertical="center"/>
    </xf>
    <xf numFmtId="0" fontId="8" fillId="2" borderId="44" xfId="0" applyFont="1" applyFill="1" applyBorder="1" applyAlignment="1">
      <alignment horizontal="left" vertical="center" wrapText="1"/>
    </xf>
    <xf numFmtId="4" fontId="4" fillId="2" borderId="44" xfId="0" applyNumberFormat="1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left" vertical="center" wrapText="1"/>
    </xf>
    <xf numFmtId="4" fontId="6" fillId="2" borderId="44" xfId="0" applyNumberFormat="1" applyFont="1" applyFill="1" applyBorder="1" applyAlignment="1">
      <alignment horizontal="center" vertical="center"/>
    </xf>
    <xf numFmtId="1" fontId="6" fillId="0" borderId="12" xfId="0" applyNumberFormat="1" applyFont="1" applyBorder="1" applyAlignment="1">
      <alignment horizontal="center" vertical="center"/>
    </xf>
    <xf numFmtId="4" fontId="6" fillId="0" borderId="42" xfId="0" applyNumberFormat="1" applyFont="1" applyBorder="1" applyAlignment="1">
      <alignment horizontal="left" vertical="center" wrapText="1"/>
    </xf>
    <xf numFmtId="4" fontId="6" fillId="0" borderId="42" xfId="0" applyNumberFormat="1" applyFont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justify" vertical="center"/>
    </xf>
    <xf numFmtId="165" fontId="4" fillId="0" borderId="45" xfId="0" applyNumberFormat="1" applyFont="1" applyBorder="1" applyAlignment="1">
      <alignment horizontal="center" vertical="center"/>
    </xf>
    <xf numFmtId="10" fontId="4" fillId="0" borderId="46" xfId="2" applyNumberFormat="1" applyFont="1" applyBorder="1" applyAlignment="1">
      <alignment horizontal="justify" vertical="center"/>
    </xf>
    <xf numFmtId="10" fontId="4" fillId="0" borderId="47" xfId="2" applyNumberFormat="1" applyFont="1" applyBorder="1" applyAlignment="1">
      <alignment horizontal="justify" vertical="center"/>
    </xf>
    <xf numFmtId="167" fontId="4" fillId="0" borderId="47" xfId="2" applyNumberFormat="1" applyFont="1" applyBorder="1" applyAlignment="1">
      <alignment horizontal="justify" vertical="center"/>
    </xf>
    <xf numFmtId="0" fontId="6" fillId="2" borderId="48" xfId="0" applyFont="1" applyFill="1" applyBorder="1" applyAlignment="1">
      <alignment horizontal="justify" vertical="center"/>
    </xf>
    <xf numFmtId="0" fontId="6" fillId="2" borderId="49" xfId="0" applyFont="1" applyFill="1" applyBorder="1" applyAlignment="1">
      <alignment horizontal="justify" vertical="center"/>
    </xf>
    <xf numFmtId="167" fontId="6" fillId="2" borderId="49" xfId="2" applyNumberFormat="1" applyFont="1" applyFill="1" applyBorder="1" applyAlignment="1">
      <alignment horizontal="justify" vertical="center"/>
    </xf>
    <xf numFmtId="0" fontId="6" fillId="2" borderId="50" xfId="0" applyFont="1" applyFill="1" applyBorder="1" applyAlignment="1">
      <alignment horizontal="justify" vertical="center"/>
    </xf>
    <xf numFmtId="167" fontId="4" fillId="0" borderId="51" xfId="0" applyNumberFormat="1" applyFont="1" applyBorder="1" applyAlignment="1">
      <alignment horizontal="justify" vertical="center"/>
    </xf>
    <xf numFmtId="167" fontId="4" fillId="0" borderId="45" xfId="0" applyNumberFormat="1" applyFont="1" applyBorder="1" applyAlignment="1">
      <alignment horizontal="justify" vertical="center"/>
    </xf>
    <xf numFmtId="10" fontId="4" fillId="0" borderId="52" xfId="2" applyNumberFormat="1" applyFont="1" applyBorder="1" applyAlignment="1">
      <alignment horizontal="justify" vertical="center"/>
    </xf>
    <xf numFmtId="10" fontId="4" fillId="0" borderId="53" xfId="2" applyNumberFormat="1" applyFont="1" applyBorder="1" applyAlignment="1">
      <alignment horizontal="justify" vertical="center"/>
    </xf>
    <xf numFmtId="167" fontId="4" fillId="0" borderId="53" xfId="2" applyNumberFormat="1" applyFont="1" applyBorder="1" applyAlignment="1">
      <alignment horizontal="justify" vertical="center"/>
    </xf>
    <xf numFmtId="167" fontId="4" fillId="0" borderId="54" xfId="0" applyNumberFormat="1" applyFont="1" applyBorder="1" applyAlignment="1">
      <alignment horizontal="justify" vertical="center"/>
    </xf>
    <xf numFmtId="10" fontId="4" fillId="0" borderId="55" xfId="2" applyNumberFormat="1" applyFont="1" applyBorder="1" applyAlignment="1">
      <alignment horizontal="justify" vertical="center"/>
    </xf>
    <xf numFmtId="10" fontId="4" fillId="0" borderId="56" xfId="2" applyNumberFormat="1" applyFont="1" applyBorder="1" applyAlignment="1">
      <alignment horizontal="justify" vertical="center"/>
    </xf>
    <xf numFmtId="167" fontId="4" fillId="0" borderId="56" xfId="2" applyNumberFormat="1" applyFont="1" applyBorder="1" applyAlignment="1">
      <alignment horizontal="justify" vertical="center"/>
    </xf>
    <xf numFmtId="167" fontId="8" fillId="0" borderId="57" xfId="0" applyNumberFormat="1" applyFont="1" applyBorder="1" applyAlignment="1">
      <alignment horizontal="justify" vertical="center"/>
    </xf>
    <xf numFmtId="167" fontId="8" fillId="0" borderId="58" xfId="0" applyNumberFormat="1" applyFont="1" applyBorder="1" applyAlignment="1">
      <alignment horizontal="justify" vertical="center"/>
    </xf>
    <xf numFmtId="14" fontId="11" fillId="0" borderId="0" xfId="0" applyNumberFormat="1" applyFont="1" applyBorder="1" applyAlignment="1">
      <alignment horizontal="left" vertical="center" wrapText="1"/>
    </xf>
    <xf numFmtId="167" fontId="8" fillId="0" borderId="59" xfId="0" applyNumberFormat="1" applyFont="1" applyBorder="1" applyAlignment="1">
      <alignment horizontal="justify" vertical="center"/>
    </xf>
    <xf numFmtId="0" fontId="4" fillId="0" borderId="16" xfId="0" applyFont="1" applyBorder="1" applyAlignment="1">
      <alignment horizontal="justify" vertical="center"/>
    </xf>
    <xf numFmtId="0" fontId="11" fillId="2" borderId="43" xfId="0" applyFont="1" applyFill="1" applyBorder="1" applyAlignment="1">
      <alignment horizontal="left" vertical="center" wrapText="1"/>
    </xf>
    <xf numFmtId="0" fontId="11" fillId="2" borderId="44" xfId="0" applyFont="1" applyFill="1" applyBorder="1" applyAlignment="1">
      <alignment horizontal="left" vertical="center" wrapText="1"/>
    </xf>
    <xf numFmtId="0" fontId="13" fillId="2" borderId="43" xfId="0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vertical="center" wrapText="1"/>
    </xf>
    <xf numFmtId="167" fontId="4" fillId="0" borderId="59" xfId="0" applyNumberFormat="1" applyFont="1" applyBorder="1" applyAlignment="1">
      <alignment horizontal="justify" vertical="center"/>
    </xf>
    <xf numFmtId="0" fontId="6" fillId="2" borderId="78" xfId="0" applyFont="1" applyFill="1" applyBorder="1" applyAlignment="1">
      <alignment horizontal="justify" vertical="center"/>
    </xf>
    <xf numFmtId="0" fontId="6" fillId="2" borderId="79" xfId="0" applyFont="1" applyFill="1" applyBorder="1" applyAlignment="1">
      <alignment horizontal="justify" vertical="center"/>
    </xf>
    <xf numFmtId="167" fontId="6" fillId="2" borderId="79" xfId="2" applyNumberFormat="1" applyFont="1" applyFill="1" applyBorder="1" applyAlignment="1">
      <alignment horizontal="justify" vertical="center"/>
    </xf>
    <xf numFmtId="0" fontId="6" fillId="2" borderId="80" xfId="0" applyFont="1" applyFill="1" applyBorder="1" applyAlignment="1">
      <alignment horizontal="justify" vertical="center"/>
    </xf>
    <xf numFmtId="167" fontId="8" fillId="0" borderId="45" xfId="0" applyNumberFormat="1" applyFont="1" applyBorder="1" applyAlignment="1">
      <alignment horizontal="justify" vertical="center"/>
    </xf>
    <xf numFmtId="0" fontId="4" fillId="0" borderId="81" xfId="0" applyFont="1" applyBorder="1" applyAlignment="1">
      <alignment horizontal="center" vertical="center"/>
    </xf>
    <xf numFmtId="0" fontId="4" fillId="0" borderId="82" xfId="0" applyFont="1" applyBorder="1" applyAlignment="1">
      <alignment horizontal="left" vertical="center" wrapText="1"/>
    </xf>
    <xf numFmtId="4" fontId="4" fillId="0" borderId="82" xfId="0" applyNumberFormat="1" applyFont="1" applyBorder="1" applyAlignment="1">
      <alignment horizontal="center" vertical="center"/>
    </xf>
    <xf numFmtId="165" fontId="4" fillId="0" borderId="59" xfId="0" applyNumberFormat="1" applyFont="1" applyBorder="1" applyAlignment="1">
      <alignment horizontal="center" vertical="center"/>
    </xf>
    <xf numFmtId="10" fontId="6" fillId="2" borderId="83" xfId="2" applyNumberFormat="1" applyFont="1" applyFill="1" applyBorder="1" applyAlignment="1">
      <alignment horizontal="justify" vertical="center"/>
    </xf>
    <xf numFmtId="0" fontId="6" fillId="2" borderId="61" xfId="0" applyFont="1" applyFill="1" applyBorder="1" applyAlignment="1">
      <alignment horizontal="justify" vertical="center"/>
    </xf>
    <xf numFmtId="167" fontId="8" fillId="0" borderId="63" xfId="0" applyNumberFormat="1" applyFont="1" applyBorder="1" applyAlignment="1">
      <alignment horizontal="justify" vertical="center"/>
    </xf>
    <xf numFmtId="0" fontId="5" fillId="0" borderId="38" xfId="0" applyFont="1" applyBorder="1" applyAlignment="1">
      <alignment horizontal="center" vertical="center"/>
    </xf>
    <xf numFmtId="0" fontId="4" fillId="0" borderId="26" xfId="0" applyFont="1" applyBorder="1" applyAlignment="1">
      <alignment horizontal="justify" vertical="center"/>
    </xf>
    <xf numFmtId="167" fontId="6" fillId="0" borderId="27" xfId="2" applyNumberFormat="1" applyFont="1" applyBorder="1" applyAlignment="1">
      <alignment horizontal="justify" vertical="center"/>
    </xf>
    <xf numFmtId="0" fontId="6" fillId="0" borderId="45" xfId="0" applyFont="1" applyBorder="1" applyAlignment="1">
      <alignment horizontal="justify" vertical="center"/>
    </xf>
    <xf numFmtId="167" fontId="8" fillId="0" borderId="34" xfId="0" applyNumberFormat="1" applyFont="1" applyBorder="1" applyAlignment="1">
      <alignment horizontal="justify" vertical="center"/>
    </xf>
    <xf numFmtId="0" fontId="5" fillId="2" borderId="3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165" fontId="8" fillId="2" borderId="45" xfId="0" applyNumberFormat="1" applyFont="1" applyFill="1" applyBorder="1" applyAlignment="1">
      <alignment horizontal="center" vertical="center"/>
    </xf>
    <xf numFmtId="0" fontId="6" fillId="2" borderId="84" xfId="0" applyFont="1" applyFill="1" applyBorder="1" applyAlignment="1">
      <alignment horizontal="justify" vertical="center"/>
    </xf>
    <xf numFmtId="167" fontId="6" fillId="2" borderId="79" xfId="2" applyNumberFormat="1" applyFont="1" applyFill="1" applyBorder="1" applyAlignment="1">
      <alignment horizontal="center" vertical="center"/>
    </xf>
    <xf numFmtId="10" fontId="6" fillId="2" borderId="29" xfId="2" applyNumberFormat="1" applyFont="1" applyFill="1" applyBorder="1" applyAlignment="1">
      <alignment horizontal="center" vertical="center"/>
    </xf>
    <xf numFmtId="10" fontId="4" fillId="0" borderId="85" xfId="2" applyNumberFormat="1" applyFont="1" applyBorder="1" applyAlignment="1">
      <alignment horizontal="justify" vertical="center"/>
    </xf>
    <xf numFmtId="10" fontId="4" fillId="0" borderId="86" xfId="2" applyNumberFormat="1" applyFont="1" applyBorder="1" applyAlignment="1">
      <alignment horizontal="justify" vertical="center"/>
    </xf>
    <xf numFmtId="167" fontId="6" fillId="2" borderId="77" xfId="2" applyNumberFormat="1" applyFont="1" applyFill="1" applyBorder="1" applyAlignment="1">
      <alignment horizontal="center" vertical="center"/>
    </xf>
    <xf numFmtId="0" fontId="6" fillId="2" borderId="87" xfId="0" applyFont="1" applyFill="1" applyBorder="1" applyAlignment="1">
      <alignment horizontal="justify" vertical="center"/>
    </xf>
    <xf numFmtId="167" fontId="8" fillId="0" borderId="54" xfId="0" applyNumberFormat="1" applyFont="1" applyBorder="1" applyAlignment="1">
      <alignment horizontal="justify" vertical="center"/>
    </xf>
    <xf numFmtId="167" fontId="6" fillId="2" borderId="76" xfId="2" applyNumberFormat="1" applyFont="1" applyFill="1" applyBorder="1" applyAlignment="1">
      <alignment horizontal="center" vertical="center"/>
    </xf>
    <xf numFmtId="0" fontId="6" fillId="2" borderId="88" xfId="0" applyFont="1" applyFill="1" applyBorder="1" applyAlignment="1">
      <alignment horizontal="justify" vertical="center"/>
    </xf>
    <xf numFmtId="10" fontId="6" fillId="2" borderId="83" xfId="2" applyNumberFormat="1" applyFont="1" applyFill="1" applyBorder="1" applyAlignment="1">
      <alignment horizontal="center" vertical="center"/>
    </xf>
    <xf numFmtId="167" fontId="6" fillId="2" borderId="49" xfId="2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2" borderId="3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165" fontId="6" fillId="2" borderId="45" xfId="0" applyNumberFormat="1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3" fontId="7" fillId="0" borderId="38" xfId="0" applyNumberFormat="1" applyFont="1" applyBorder="1" applyAlignment="1">
      <alignment horizontal="center" vertical="center"/>
    </xf>
    <xf numFmtId="10" fontId="4" fillId="0" borderId="78" xfId="2" applyNumberFormat="1" applyFont="1" applyBorder="1" applyAlignment="1">
      <alignment horizontal="justify" vertical="center"/>
    </xf>
    <xf numFmtId="10" fontId="4" fillId="0" borderId="79" xfId="2" applyNumberFormat="1" applyFont="1" applyBorder="1" applyAlignment="1">
      <alignment horizontal="justify" vertical="center"/>
    </xf>
    <xf numFmtId="167" fontId="4" fillId="0" borderId="79" xfId="2" applyNumberFormat="1" applyFont="1" applyBorder="1" applyAlignment="1">
      <alignment horizontal="justify" vertical="center"/>
    </xf>
    <xf numFmtId="167" fontId="8" fillId="0" borderId="80" xfId="0" applyNumberFormat="1" applyFont="1" applyBorder="1" applyAlignment="1">
      <alignment horizontal="justify" vertical="center"/>
    </xf>
    <xf numFmtId="10" fontId="4" fillId="0" borderId="71" xfId="2" applyNumberFormat="1" applyFont="1" applyBorder="1" applyAlignment="1">
      <alignment horizontal="justify" vertical="center"/>
    </xf>
    <xf numFmtId="10" fontId="4" fillId="0" borderId="76" xfId="2" applyNumberFormat="1" applyFont="1" applyBorder="1" applyAlignment="1">
      <alignment horizontal="justify" vertical="center"/>
    </xf>
    <xf numFmtId="167" fontId="4" fillId="0" borderId="76" xfId="2" applyNumberFormat="1" applyFont="1" applyBorder="1" applyAlignment="1">
      <alignment horizontal="justify" vertical="center"/>
    </xf>
    <xf numFmtId="167" fontId="4" fillId="0" borderId="88" xfId="0" applyNumberFormat="1" applyFont="1" applyBorder="1" applyAlignment="1">
      <alignment horizontal="justify" vertical="center"/>
    </xf>
    <xf numFmtId="167" fontId="8" fillId="0" borderId="88" xfId="0" applyNumberFormat="1" applyFont="1" applyBorder="1" applyAlignment="1">
      <alignment horizontal="justify" vertical="center"/>
    </xf>
    <xf numFmtId="10" fontId="6" fillId="2" borderId="17" xfId="2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justify" vertical="center"/>
    </xf>
    <xf numFmtId="10" fontId="4" fillId="0" borderId="89" xfId="2" applyNumberFormat="1" applyFont="1" applyBorder="1" applyAlignment="1">
      <alignment horizontal="justify" vertical="center"/>
    </xf>
    <xf numFmtId="10" fontId="4" fillId="0" borderId="90" xfId="2" applyNumberFormat="1" applyFont="1" applyBorder="1" applyAlignment="1">
      <alignment horizontal="justify" vertical="center"/>
    </xf>
    <xf numFmtId="167" fontId="4" fillId="0" borderId="90" xfId="2" applyNumberFormat="1" applyFont="1" applyBorder="1" applyAlignment="1">
      <alignment horizontal="justify" vertical="center"/>
    </xf>
    <xf numFmtId="167" fontId="4" fillId="0" borderId="91" xfId="0" applyNumberFormat="1" applyFont="1" applyBorder="1" applyAlignment="1">
      <alignment horizontal="justify" vertical="center"/>
    </xf>
    <xf numFmtId="0" fontId="4" fillId="0" borderId="71" xfId="0" applyFont="1" applyBorder="1" applyAlignment="1">
      <alignment horizontal="justify" vertical="center"/>
    </xf>
    <xf numFmtId="0" fontId="6" fillId="2" borderId="0" xfId="0" applyFont="1" applyFill="1" applyBorder="1" applyAlignment="1">
      <alignment horizontal="left" vertical="center" wrapText="1"/>
    </xf>
    <xf numFmtId="4" fontId="6" fillId="2" borderId="0" xfId="0" applyNumberFormat="1" applyFont="1" applyFill="1" applyBorder="1" applyAlignment="1">
      <alignment horizontal="center" vertical="center"/>
    </xf>
    <xf numFmtId="3" fontId="4" fillId="0" borderId="38" xfId="0" applyNumberFormat="1" applyFont="1" applyBorder="1" applyAlignment="1">
      <alignment horizontal="center" vertical="center"/>
    </xf>
    <xf numFmtId="169" fontId="6" fillId="0" borderId="2" xfId="0" applyNumberFormat="1" applyFont="1" applyBorder="1" applyAlignment="1">
      <alignment horizontal="center" vertical="center"/>
    </xf>
    <xf numFmtId="0" fontId="4" fillId="0" borderId="92" xfId="0" applyFont="1" applyBorder="1" applyAlignment="1">
      <alignment horizontal="center" vertical="center"/>
    </xf>
    <xf numFmtId="0" fontId="4" fillId="0" borderId="93" xfId="0" applyFont="1" applyBorder="1" applyAlignment="1">
      <alignment horizontal="left" vertical="center" wrapText="1"/>
    </xf>
    <xf numFmtId="4" fontId="4" fillId="0" borderId="93" xfId="0" applyNumberFormat="1" applyFont="1" applyBorder="1" applyAlignment="1">
      <alignment horizontal="center" vertical="center"/>
    </xf>
    <xf numFmtId="165" fontId="4" fillId="0" borderId="94" xfId="0" applyNumberFormat="1" applyFont="1" applyBorder="1" applyAlignment="1">
      <alignment horizontal="center" vertical="center"/>
    </xf>
    <xf numFmtId="10" fontId="4" fillId="0" borderId="95" xfId="2" applyNumberFormat="1" applyFont="1" applyBorder="1" applyAlignment="1">
      <alignment horizontal="justify" vertical="center"/>
    </xf>
    <xf numFmtId="10" fontId="4" fillId="0" borderId="77" xfId="2" applyNumberFormat="1" applyFont="1" applyBorder="1" applyAlignment="1">
      <alignment horizontal="justify" vertical="center"/>
    </xf>
    <xf numFmtId="167" fontId="4" fillId="0" borderId="77" xfId="2" applyNumberFormat="1" applyFont="1" applyBorder="1" applyAlignment="1">
      <alignment horizontal="justify" vertical="center"/>
    </xf>
    <xf numFmtId="167" fontId="4" fillId="0" borderId="87" xfId="0" applyNumberFormat="1" applyFont="1" applyBorder="1" applyAlignment="1">
      <alignment horizontal="justify" vertical="center"/>
    </xf>
    <xf numFmtId="0" fontId="6" fillId="2" borderId="92" xfId="0" applyFont="1" applyFill="1" applyBorder="1" applyAlignment="1">
      <alignment horizontal="center" vertical="center"/>
    </xf>
    <xf numFmtId="0" fontId="6" fillId="2" borderId="93" xfId="0" applyFont="1" applyFill="1" applyBorder="1" applyAlignment="1">
      <alignment horizontal="left" vertical="center" wrapText="1"/>
    </xf>
    <xf numFmtId="4" fontId="6" fillId="2" borderId="93" xfId="0" applyNumberFormat="1" applyFont="1" applyFill="1" applyBorder="1" applyAlignment="1">
      <alignment horizontal="center" vertical="center"/>
    </xf>
    <xf numFmtId="165" fontId="6" fillId="2" borderId="94" xfId="0" applyNumberFormat="1" applyFont="1" applyFill="1" applyBorder="1" applyAlignment="1">
      <alignment horizontal="center" vertical="center"/>
    </xf>
    <xf numFmtId="0" fontId="5" fillId="0" borderId="81" xfId="0" applyFont="1" applyBorder="1" applyAlignment="1">
      <alignment horizontal="center" vertical="center"/>
    </xf>
    <xf numFmtId="0" fontId="5" fillId="0" borderId="82" xfId="0" applyFont="1" applyBorder="1" applyAlignment="1">
      <alignment horizontal="left" vertical="center" wrapText="1"/>
    </xf>
    <xf numFmtId="10" fontId="4" fillId="0" borderId="81" xfId="2" applyNumberFormat="1" applyFont="1" applyBorder="1" applyAlignment="1">
      <alignment horizontal="justify" vertical="center"/>
    </xf>
    <xf numFmtId="0" fontId="5" fillId="2" borderId="92" xfId="0" applyFont="1" applyFill="1" applyBorder="1" applyAlignment="1">
      <alignment horizontal="center" vertical="center"/>
    </xf>
    <xf numFmtId="0" fontId="8" fillId="2" borderId="93" xfId="0" applyFont="1" applyFill="1" applyBorder="1" applyAlignment="1">
      <alignment horizontal="left" vertical="center" wrapText="1"/>
    </xf>
    <xf numFmtId="4" fontId="4" fillId="2" borderId="93" xfId="0" applyNumberFormat="1" applyFont="1" applyFill="1" applyBorder="1" applyAlignment="1">
      <alignment horizontal="center" vertical="center"/>
    </xf>
    <xf numFmtId="165" fontId="8" fillId="2" borderId="94" xfId="0" applyNumberFormat="1" applyFont="1" applyFill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0" fontId="4" fillId="0" borderId="97" xfId="0" applyFont="1" applyBorder="1" applyAlignment="1">
      <alignment horizontal="left" vertical="center" wrapText="1"/>
    </xf>
    <xf numFmtId="4" fontId="4" fillId="0" borderId="97" xfId="0" applyNumberFormat="1" applyFont="1" applyBorder="1" applyAlignment="1">
      <alignment horizontal="center" vertical="center"/>
    </xf>
    <xf numFmtId="165" fontId="4" fillId="0" borderId="98" xfId="0" applyNumberFormat="1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99" xfId="0" applyFont="1" applyBorder="1" applyAlignment="1">
      <alignment horizontal="left" vertical="center" wrapText="1"/>
    </xf>
    <xf numFmtId="4" fontId="4" fillId="0" borderId="99" xfId="0" applyNumberFormat="1" applyFont="1" applyBorder="1" applyAlignment="1">
      <alignment horizontal="center" vertical="center"/>
    </xf>
    <xf numFmtId="165" fontId="4" fillId="0" borderId="57" xfId="0" applyNumberFormat="1" applyFont="1" applyBorder="1" applyAlignment="1">
      <alignment horizontal="center" vertical="center"/>
    </xf>
    <xf numFmtId="166" fontId="6" fillId="2" borderId="76" xfId="2" applyNumberFormat="1" applyFont="1" applyFill="1" applyBorder="1" applyAlignment="1">
      <alignment horizontal="center" vertical="center"/>
    </xf>
    <xf numFmtId="165" fontId="8" fillId="2" borderId="34" xfId="0" applyNumberFormat="1" applyFont="1" applyFill="1" applyBorder="1" applyAlignment="1">
      <alignment horizontal="center" vertical="center"/>
    </xf>
    <xf numFmtId="0" fontId="5" fillId="0" borderId="96" xfId="0" applyFont="1" applyBorder="1" applyAlignment="1">
      <alignment horizontal="center" vertical="center"/>
    </xf>
    <xf numFmtId="0" fontId="5" fillId="0" borderId="97" xfId="0" applyFont="1" applyBorder="1" applyAlignment="1">
      <alignment horizontal="left" vertical="center" wrapText="1"/>
    </xf>
    <xf numFmtId="0" fontId="6" fillId="2" borderId="100" xfId="0" applyFont="1" applyFill="1" applyBorder="1" applyAlignment="1">
      <alignment horizontal="center" vertical="center"/>
    </xf>
    <xf numFmtId="0" fontId="6" fillId="2" borderId="101" xfId="0" applyFont="1" applyFill="1" applyBorder="1" applyAlignment="1">
      <alignment horizontal="left" vertical="center" wrapText="1"/>
    </xf>
    <xf numFmtId="4" fontId="6" fillId="2" borderId="101" xfId="0" applyNumberFormat="1" applyFont="1" applyFill="1" applyBorder="1" applyAlignment="1">
      <alignment horizontal="center" vertical="center"/>
    </xf>
    <xf numFmtId="165" fontId="6" fillId="2" borderId="102" xfId="0" applyNumberFormat="1" applyFont="1" applyFill="1" applyBorder="1" applyAlignment="1">
      <alignment horizontal="center" vertical="center"/>
    </xf>
    <xf numFmtId="167" fontId="6" fillId="2" borderId="103" xfId="2" applyNumberFormat="1" applyFont="1" applyFill="1" applyBorder="1" applyAlignment="1">
      <alignment horizontal="center" vertical="center"/>
    </xf>
    <xf numFmtId="0" fontId="6" fillId="2" borderId="102" xfId="0" applyFont="1" applyFill="1" applyBorder="1" applyAlignment="1">
      <alignment horizontal="justify" vertical="center"/>
    </xf>
    <xf numFmtId="0" fontId="8" fillId="2" borderId="92" xfId="0" applyFont="1" applyFill="1" applyBorder="1" applyAlignment="1">
      <alignment horizontal="center" vertical="center"/>
    </xf>
    <xf numFmtId="4" fontId="8" fillId="2" borderId="93" xfId="0" applyNumberFormat="1" applyFont="1" applyFill="1" applyBorder="1" applyAlignment="1">
      <alignment horizontal="center" vertical="center"/>
    </xf>
    <xf numFmtId="167" fontId="4" fillId="0" borderId="104" xfId="0" applyNumberFormat="1" applyFont="1" applyBorder="1" applyAlignment="1">
      <alignment horizontal="justify" vertical="center"/>
    </xf>
    <xf numFmtId="166" fontId="4" fillId="0" borderId="68" xfId="2" applyNumberFormat="1" applyFont="1" applyBorder="1" applyAlignment="1">
      <alignment horizontal="center" vertical="center"/>
    </xf>
    <xf numFmtId="166" fontId="4" fillId="0" borderId="105" xfId="2" applyNumberFormat="1" applyFont="1" applyBorder="1" applyAlignment="1">
      <alignment horizontal="center" vertical="center"/>
    </xf>
    <xf numFmtId="166" fontId="4" fillId="0" borderId="66" xfId="2" applyNumberFormat="1" applyFont="1" applyBorder="1" applyAlignment="1">
      <alignment horizontal="center" vertical="center"/>
    </xf>
    <xf numFmtId="166" fontId="6" fillId="2" borderId="106" xfId="2" applyNumberFormat="1" applyFont="1" applyFill="1" applyBorder="1" applyAlignment="1">
      <alignment horizontal="center" vertical="center"/>
    </xf>
    <xf numFmtId="166" fontId="4" fillId="0" borderId="107" xfId="2" applyNumberFormat="1" applyFont="1" applyBorder="1" applyAlignment="1">
      <alignment horizontal="center" vertical="center"/>
    </xf>
    <xf numFmtId="166" fontId="6" fillId="2" borderId="108" xfId="2" applyNumberFormat="1" applyFont="1" applyFill="1" applyBorder="1" applyAlignment="1">
      <alignment horizontal="center" vertical="center"/>
    </xf>
    <xf numFmtId="166" fontId="4" fillId="0" borderId="109" xfId="2" applyNumberFormat="1" applyFont="1" applyBorder="1" applyAlignment="1">
      <alignment horizontal="center" vertical="center"/>
    </xf>
    <xf numFmtId="166" fontId="6" fillId="3" borderId="110" xfId="2" applyNumberFormat="1" applyFont="1" applyFill="1" applyBorder="1" applyAlignment="1">
      <alignment horizontal="center" vertical="center"/>
    </xf>
    <xf numFmtId="166" fontId="4" fillId="0" borderId="111" xfId="2" applyNumberFormat="1" applyFont="1" applyBorder="1" applyAlignment="1">
      <alignment horizontal="center" vertical="center"/>
    </xf>
    <xf numFmtId="166" fontId="6" fillId="3" borderId="64" xfId="2" applyNumberFormat="1" applyFont="1" applyFill="1" applyBorder="1" applyAlignment="1">
      <alignment horizontal="center" vertical="center"/>
    </xf>
    <xf numFmtId="166" fontId="6" fillId="2" borderId="110" xfId="2" applyNumberFormat="1" applyFont="1" applyFill="1" applyBorder="1" applyAlignment="1">
      <alignment horizontal="center" vertical="center"/>
    </xf>
    <xf numFmtId="166" fontId="4" fillId="0" borderId="112" xfId="2" applyNumberFormat="1" applyFont="1" applyBorder="1" applyAlignment="1">
      <alignment horizontal="center" vertical="center"/>
    </xf>
    <xf numFmtId="166" fontId="6" fillId="2" borderId="70" xfId="2" applyNumberFormat="1" applyFont="1" applyFill="1" applyBorder="1" applyAlignment="1">
      <alignment horizontal="center" vertical="center"/>
    </xf>
    <xf numFmtId="166" fontId="6" fillId="2" borderId="113" xfId="2" applyNumberFormat="1" applyFont="1" applyFill="1" applyBorder="1" applyAlignment="1">
      <alignment horizontal="center" vertical="center"/>
    </xf>
    <xf numFmtId="166" fontId="4" fillId="0" borderId="15" xfId="2" applyNumberFormat="1" applyFont="1" applyBorder="1" applyAlignment="1">
      <alignment horizontal="center" vertical="center"/>
    </xf>
    <xf numFmtId="166" fontId="4" fillId="0" borderId="26" xfId="2" applyNumberFormat="1" applyFont="1" applyBorder="1" applyAlignment="1">
      <alignment horizontal="center" vertical="center"/>
    </xf>
    <xf numFmtId="166" fontId="4" fillId="0" borderId="52" xfId="2" applyNumberFormat="1" applyFont="1" applyBorder="1" applyAlignment="1">
      <alignment horizontal="center" vertical="center"/>
    </xf>
    <xf numFmtId="166" fontId="4" fillId="0" borderId="110" xfId="2" applyNumberFormat="1" applyFont="1" applyBorder="1" applyAlignment="1">
      <alignment horizontal="center" vertical="center"/>
    </xf>
    <xf numFmtId="166" fontId="6" fillId="2" borderId="85" xfId="2" applyNumberFormat="1" applyFont="1" applyFill="1" applyBorder="1" applyAlignment="1">
      <alignment horizontal="center" vertical="center"/>
    </xf>
    <xf numFmtId="166" fontId="4" fillId="0" borderId="71" xfId="2" applyNumberFormat="1" applyFont="1" applyBorder="1" applyAlignment="1">
      <alignment horizontal="center" vertical="center"/>
    </xf>
    <xf numFmtId="166" fontId="6" fillId="2" borderId="114" xfId="2" applyNumberFormat="1" applyFont="1" applyFill="1" applyBorder="1" applyAlignment="1">
      <alignment horizontal="center" vertical="center"/>
    </xf>
    <xf numFmtId="166" fontId="4" fillId="0" borderId="95" xfId="2" applyNumberFormat="1" applyFont="1" applyBorder="1" applyAlignment="1">
      <alignment horizontal="center" vertical="center"/>
    </xf>
    <xf numFmtId="166" fontId="4" fillId="0" borderId="89" xfId="2" applyNumberFormat="1" applyFont="1" applyBorder="1" applyAlignment="1">
      <alignment horizontal="center" vertical="center"/>
    </xf>
    <xf numFmtId="166" fontId="6" fillId="3" borderId="60" xfId="2" applyNumberFormat="1" applyFont="1" applyFill="1" applyBorder="1" applyAlignment="1">
      <alignment horizontal="center" vertical="center"/>
    </xf>
    <xf numFmtId="166" fontId="6" fillId="2" borderId="68" xfId="2" applyNumberFormat="1" applyFont="1" applyFill="1" applyBorder="1" applyAlignment="1">
      <alignment horizontal="center" vertical="center"/>
    </xf>
    <xf numFmtId="166" fontId="6" fillId="2" borderId="15" xfId="2" applyNumberFormat="1" applyFont="1" applyFill="1" applyBorder="1" applyAlignment="1">
      <alignment horizontal="center" vertical="center"/>
    </xf>
    <xf numFmtId="166" fontId="4" fillId="0" borderId="16" xfId="2" applyNumberFormat="1" applyFont="1" applyBorder="1" applyAlignment="1">
      <alignment horizontal="center" vertical="center"/>
    </xf>
    <xf numFmtId="166" fontId="6" fillId="2" borderId="95" xfId="2" applyNumberFormat="1" applyFont="1" applyFill="1" applyBorder="1" applyAlignment="1">
      <alignment horizontal="center" vertical="center"/>
    </xf>
    <xf numFmtId="166" fontId="4" fillId="0" borderId="115" xfId="2" applyNumberFormat="1" applyFont="1" applyBorder="1" applyAlignment="1">
      <alignment horizontal="center" vertical="center"/>
    </xf>
    <xf numFmtId="166" fontId="6" fillId="2" borderId="71" xfId="2" applyNumberFormat="1" applyFont="1" applyFill="1" applyBorder="1" applyAlignment="1">
      <alignment horizontal="center" vertical="center"/>
    </xf>
    <xf numFmtId="166" fontId="4" fillId="0" borderId="0" xfId="2" applyNumberFormat="1" applyFont="1" applyBorder="1" applyAlignment="1">
      <alignment horizontal="center" vertical="center"/>
    </xf>
    <xf numFmtId="166" fontId="6" fillId="0" borderId="0" xfId="2" applyNumberFormat="1" applyFont="1" applyBorder="1" applyAlignment="1">
      <alignment horizontal="justify" vertical="center"/>
    </xf>
    <xf numFmtId="166" fontId="4" fillId="0" borderId="0" xfId="0" applyNumberFormat="1" applyFont="1" applyBorder="1" applyAlignment="1">
      <alignment horizontal="justify" vertical="center"/>
    </xf>
    <xf numFmtId="166" fontId="4" fillId="0" borderId="0" xfId="2" applyNumberFormat="1" applyFont="1" applyBorder="1" applyAlignment="1">
      <alignment horizontal="justify" vertical="center"/>
    </xf>
    <xf numFmtId="166" fontId="6" fillId="2" borderId="78" xfId="2" applyNumberFormat="1" applyFont="1" applyFill="1" applyBorder="1" applyAlignment="1">
      <alignment horizontal="center" vertical="center"/>
    </xf>
    <xf numFmtId="166" fontId="6" fillId="2" borderId="38" xfId="2" applyNumberFormat="1" applyFont="1" applyFill="1" applyBorder="1" applyAlignment="1">
      <alignment horizontal="center" vertical="center"/>
    </xf>
    <xf numFmtId="166" fontId="4" fillId="0" borderId="30" xfId="2" applyNumberFormat="1" applyFont="1" applyBorder="1" applyAlignment="1">
      <alignment horizontal="center" vertical="center"/>
    </xf>
    <xf numFmtId="166" fontId="4" fillId="0" borderId="46" xfId="2" applyNumberFormat="1" applyFont="1" applyBorder="1" applyAlignment="1">
      <alignment horizontal="center" vertical="center"/>
    </xf>
    <xf numFmtId="166" fontId="6" fillId="3" borderId="73" xfId="2" applyNumberFormat="1" applyFont="1" applyFill="1" applyBorder="1" applyAlignment="1">
      <alignment horizontal="center" vertical="center"/>
    </xf>
    <xf numFmtId="166" fontId="4" fillId="0" borderId="85" xfId="2" applyNumberFormat="1" applyFont="1" applyBorder="1" applyAlignment="1">
      <alignment horizontal="center" vertical="center"/>
    </xf>
    <xf numFmtId="166" fontId="6" fillId="2" borderId="28" xfId="2" applyNumberFormat="1" applyFont="1" applyFill="1" applyBorder="1" applyAlignment="1">
      <alignment horizontal="center" vertical="center"/>
    </xf>
    <xf numFmtId="166" fontId="6" fillId="2" borderId="100" xfId="2" applyNumberFormat="1" applyFont="1" applyFill="1" applyBorder="1" applyAlignment="1">
      <alignment horizontal="center" vertical="center"/>
    </xf>
    <xf numFmtId="166" fontId="4" fillId="0" borderId="81" xfId="2" applyNumberFormat="1" applyFont="1" applyBorder="1" applyAlignment="1">
      <alignment horizontal="center" vertical="center"/>
    </xf>
    <xf numFmtId="166" fontId="4" fillId="0" borderId="55" xfId="2" applyNumberFormat="1" applyFont="1" applyBorder="1" applyAlignment="1">
      <alignment horizontal="center" vertical="center"/>
    </xf>
    <xf numFmtId="166" fontId="6" fillId="3" borderId="116" xfId="2" applyNumberFormat="1" applyFont="1" applyFill="1" applyBorder="1" applyAlignment="1">
      <alignment horizontal="center" vertical="center"/>
    </xf>
    <xf numFmtId="166" fontId="4" fillId="0" borderId="70" xfId="2" applyNumberFormat="1" applyFont="1" applyBorder="1" applyAlignment="1">
      <alignment horizontal="center" vertical="center"/>
    </xf>
    <xf numFmtId="166" fontId="4" fillId="0" borderId="117" xfId="2" applyNumberFormat="1" applyFont="1" applyBorder="1" applyAlignment="1">
      <alignment horizontal="center" vertical="center"/>
    </xf>
    <xf numFmtId="166" fontId="6" fillId="0" borderId="118" xfId="2" applyNumberFormat="1" applyFont="1" applyBorder="1" applyAlignment="1">
      <alignment horizontal="justify" vertical="center"/>
    </xf>
    <xf numFmtId="0" fontId="8" fillId="0" borderId="0" xfId="0" applyFont="1" applyAlignment="1">
      <alignment horizontal="right" vertical="center"/>
    </xf>
    <xf numFmtId="4" fontId="8" fillId="0" borderId="0" xfId="0" applyNumberFormat="1" applyFont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166" fontId="6" fillId="2" borderId="119" xfId="2" applyNumberFormat="1" applyFont="1" applyFill="1" applyBorder="1" applyAlignment="1">
      <alignment horizontal="center" vertical="center"/>
    </xf>
    <xf numFmtId="166" fontId="6" fillId="2" borderId="120" xfId="2" applyNumberFormat="1" applyFont="1" applyFill="1" applyBorder="1" applyAlignment="1">
      <alignment horizontal="center" vertical="center"/>
    </xf>
    <xf numFmtId="166" fontId="6" fillId="2" borderId="116" xfId="2" applyNumberFormat="1" applyFont="1" applyFill="1" applyBorder="1" applyAlignment="1">
      <alignment horizontal="center" vertical="center"/>
    </xf>
    <xf numFmtId="166" fontId="6" fillId="2" borderId="60" xfId="2" applyNumberFormat="1" applyFont="1" applyFill="1" applyBorder="1" applyAlignment="1">
      <alignment horizontal="center" vertical="center"/>
    </xf>
    <xf numFmtId="166" fontId="6" fillId="2" borderId="65" xfId="2" applyNumberFormat="1" applyFont="1" applyFill="1" applyBorder="1" applyAlignment="1">
      <alignment horizontal="justify" vertical="center"/>
    </xf>
    <xf numFmtId="166" fontId="6" fillId="2" borderId="119" xfId="2" applyNumberFormat="1" applyFont="1" applyFill="1" applyBorder="1" applyAlignment="1">
      <alignment horizontal="justify" vertical="center"/>
    </xf>
    <xf numFmtId="166" fontId="6" fillId="2" borderId="120" xfId="2" applyNumberFormat="1" applyFont="1" applyFill="1" applyBorder="1" applyAlignment="1">
      <alignment horizontal="justify" vertical="center"/>
    </xf>
    <xf numFmtId="166" fontId="6" fillId="2" borderId="64" xfId="2" applyNumberFormat="1" applyFont="1" applyFill="1" applyBorder="1" applyAlignment="1">
      <alignment horizontal="justify" vertical="center"/>
    </xf>
    <xf numFmtId="166" fontId="6" fillId="2" borderId="121" xfId="2" applyNumberFormat="1" applyFont="1" applyFill="1" applyBorder="1" applyAlignment="1">
      <alignment horizontal="center" vertical="center"/>
    </xf>
    <xf numFmtId="165" fontId="8" fillId="0" borderId="35" xfId="0" applyNumberFormat="1" applyFont="1" applyBorder="1" applyAlignment="1">
      <alignment horizontal="center" vertical="center"/>
    </xf>
    <xf numFmtId="165" fontId="8" fillId="0" borderId="123" xfId="0" applyNumberFormat="1" applyFont="1" applyBorder="1" applyAlignment="1">
      <alignment horizontal="right" vertical="center"/>
    </xf>
    <xf numFmtId="165" fontId="6" fillId="0" borderId="124" xfId="0" applyNumberFormat="1" applyFont="1" applyBorder="1" applyAlignment="1">
      <alignment horizontal="center" vertical="center"/>
    </xf>
    <xf numFmtId="165" fontId="6" fillId="2" borderId="125" xfId="0" applyNumberFormat="1" applyFont="1" applyFill="1" applyBorder="1" applyAlignment="1">
      <alignment horizontal="center" vertical="center"/>
    </xf>
    <xf numFmtId="165" fontId="4" fillId="0" borderId="126" xfId="0" applyNumberFormat="1" applyFont="1" applyBorder="1" applyAlignment="1">
      <alignment horizontal="center" vertical="center"/>
    </xf>
    <xf numFmtId="165" fontId="4" fillId="0" borderId="127" xfId="0" applyNumberFormat="1" applyFont="1" applyBorder="1" applyAlignment="1">
      <alignment horizontal="center" vertical="center"/>
    </xf>
    <xf numFmtId="165" fontId="4" fillId="0" borderId="124" xfId="0" applyNumberFormat="1" applyFont="1" applyBorder="1" applyAlignment="1">
      <alignment horizontal="center" vertical="center"/>
    </xf>
    <xf numFmtId="165" fontId="6" fillId="2" borderId="128" xfId="0" applyNumberFormat="1" applyFont="1" applyFill="1" applyBorder="1" applyAlignment="1">
      <alignment horizontal="center" vertical="center"/>
    </xf>
    <xf numFmtId="165" fontId="4" fillId="0" borderId="129" xfId="0" applyNumberFormat="1" applyFont="1" applyBorder="1" applyAlignment="1">
      <alignment horizontal="center" vertical="center"/>
    </xf>
    <xf numFmtId="165" fontId="4" fillId="2" borderId="129" xfId="0" applyNumberFormat="1" applyFont="1" applyFill="1" applyBorder="1" applyAlignment="1">
      <alignment horizontal="center" vertical="center"/>
    </xf>
    <xf numFmtId="165" fontId="4" fillId="2" borderId="127" xfId="0" applyNumberFormat="1" applyFont="1" applyFill="1" applyBorder="1" applyAlignment="1">
      <alignment horizontal="center" vertical="center"/>
    </xf>
    <xf numFmtId="165" fontId="4" fillId="0" borderId="130" xfId="0" applyNumberFormat="1" applyFont="1" applyBorder="1" applyAlignment="1">
      <alignment horizontal="center" vertical="center"/>
    </xf>
    <xf numFmtId="165" fontId="6" fillId="2" borderId="129" xfId="0" applyNumberFormat="1" applyFont="1" applyFill="1" applyBorder="1" applyAlignment="1">
      <alignment horizontal="center" vertical="center"/>
    </xf>
    <xf numFmtId="165" fontId="4" fillId="2" borderId="131" xfId="0" applyNumberFormat="1" applyFont="1" applyFill="1" applyBorder="1" applyAlignment="1">
      <alignment horizontal="center" vertical="center"/>
    </xf>
    <xf numFmtId="165" fontId="4" fillId="0" borderId="132" xfId="0" applyNumberFormat="1" applyFont="1" applyBorder="1" applyAlignment="1">
      <alignment horizontal="center" vertical="center"/>
    </xf>
    <xf numFmtId="165" fontId="6" fillId="2" borderId="133" xfId="0" applyNumberFormat="1" applyFont="1" applyFill="1" applyBorder="1" applyAlignment="1">
      <alignment horizontal="center" vertical="center"/>
    </xf>
    <xf numFmtId="165" fontId="4" fillId="0" borderId="131" xfId="0" applyNumberFormat="1" applyFont="1" applyBorder="1" applyAlignment="1">
      <alignment horizontal="center" vertical="center"/>
    </xf>
    <xf numFmtId="165" fontId="6" fillId="2" borderId="131" xfId="0" applyNumberFormat="1" applyFont="1" applyFill="1" applyBorder="1" applyAlignment="1">
      <alignment horizontal="center" vertical="center"/>
    </xf>
    <xf numFmtId="165" fontId="6" fillId="2" borderId="127" xfId="0" applyNumberFormat="1" applyFont="1" applyFill="1" applyBorder="1" applyAlignment="1">
      <alignment horizontal="center" vertical="center"/>
    </xf>
    <xf numFmtId="165" fontId="8" fillId="2" borderId="127" xfId="0" applyNumberFormat="1" applyFont="1" applyFill="1" applyBorder="1" applyAlignment="1">
      <alignment horizontal="center" vertical="center"/>
    </xf>
    <xf numFmtId="165" fontId="8" fillId="2" borderId="131" xfId="0" applyNumberFormat="1" applyFont="1" applyFill="1" applyBorder="1" applyAlignment="1">
      <alignment horizontal="center" vertical="center"/>
    </xf>
    <xf numFmtId="165" fontId="4" fillId="0" borderId="134" xfId="0" applyNumberFormat="1" applyFont="1" applyBorder="1" applyAlignment="1">
      <alignment horizontal="center" vertical="center"/>
    </xf>
    <xf numFmtId="165" fontId="6" fillId="2" borderId="118" xfId="0" applyNumberFormat="1" applyFont="1" applyFill="1" applyBorder="1" applyAlignment="1">
      <alignment horizontal="center" vertical="center"/>
    </xf>
    <xf numFmtId="165" fontId="4" fillId="0" borderId="135" xfId="0" applyNumberFormat="1" applyFont="1" applyBorder="1" applyAlignment="1">
      <alignment horizontal="center" vertical="center"/>
    </xf>
    <xf numFmtId="165" fontId="4" fillId="0" borderId="136" xfId="0" applyNumberFormat="1" applyFont="1" applyBorder="1" applyAlignment="1">
      <alignment horizontal="center" vertical="center"/>
    </xf>
    <xf numFmtId="165" fontId="4" fillId="0" borderId="118" xfId="0" applyNumberFormat="1" applyFont="1" applyBorder="1" applyAlignment="1">
      <alignment horizontal="center" vertical="center"/>
    </xf>
    <xf numFmtId="165" fontId="6" fillId="0" borderId="137" xfId="0" applyNumberFormat="1" applyFont="1" applyBorder="1" applyAlignment="1">
      <alignment horizontal="center" vertical="center"/>
    </xf>
    <xf numFmtId="165" fontId="4" fillId="0" borderId="125" xfId="0" applyNumberFormat="1" applyFont="1" applyBorder="1" applyAlignment="1">
      <alignment horizontal="center" vertical="center"/>
    </xf>
    <xf numFmtId="165" fontId="4" fillId="0" borderId="138" xfId="0" applyNumberFormat="1" applyFont="1" applyBorder="1" applyAlignment="1">
      <alignment horizontal="center" vertical="center"/>
    </xf>
    <xf numFmtId="165" fontId="5" fillId="0" borderId="139" xfId="0" applyNumberFormat="1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justify" vertical="center"/>
    </xf>
    <xf numFmtId="165" fontId="4" fillId="6" borderId="122" xfId="0" applyNumberFormat="1" applyFont="1" applyFill="1" applyBorder="1" applyAlignment="1">
      <alignment horizontal="center" vertical="center"/>
    </xf>
    <xf numFmtId="4" fontId="6" fillId="0" borderId="140" xfId="0" applyNumberFormat="1" applyFont="1" applyBorder="1" applyAlignment="1">
      <alignment horizontal="center" vertical="center"/>
    </xf>
    <xf numFmtId="4" fontId="4" fillId="0" borderId="23" xfId="0" applyNumberFormat="1" applyFont="1" applyBorder="1" applyAlignment="1">
      <alignment horizontal="center" vertical="center"/>
    </xf>
    <xf numFmtId="4" fontId="4" fillId="0" borderId="24" xfId="0" applyNumberFormat="1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165" fontId="4" fillId="0" borderId="141" xfId="0" applyNumberFormat="1" applyFont="1" applyBorder="1" applyAlignment="1">
      <alignment horizontal="center" vertical="center"/>
    </xf>
    <xf numFmtId="165" fontId="4" fillId="0" borderId="142" xfId="0" applyNumberFormat="1" applyFont="1" applyBorder="1" applyAlignment="1">
      <alignment horizontal="center" vertical="center"/>
    </xf>
    <xf numFmtId="165" fontId="8" fillId="2" borderId="27" xfId="0" applyNumberFormat="1" applyFont="1" applyFill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165" fontId="4" fillId="0" borderId="47" xfId="0" applyNumberFormat="1" applyFont="1" applyBorder="1" applyAlignment="1">
      <alignment horizontal="center" vertical="center"/>
    </xf>
    <xf numFmtId="165" fontId="4" fillId="0" borderId="53" xfId="0" applyNumberFormat="1" applyFont="1" applyBorder="1" applyAlignment="1">
      <alignment horizontal="center" vertical="center"/>
    </xf>
    <xf numFmtId="165" fontId="4" fillId="0" borderId="143" xfId="0" applyNumberFormat="1" applyFont="1" applyBorder="1" applyAlignment="1">
      <alignment horizontal="center" vertical="center"/>
    </xf>
    <xf numFmtId="165" fontId="4" fillId="0" borderId="56" xfId="0" applyNumberFormat="1" applyFont="1" applyBorder="1" applyAlignment="1">
      <alignment horizontal="center" vertical="center"/>
    </xf>
    <xf numFmtId="165" fontId="4" fillId="0" borderId="144" xfId="0" applyNumberFormat="1" applyFont="1" applyBorder="1" applyAlignment="1">
      <alignment horizontal="center" vertical="center"/>
    </xf>
    <xf numFmtId="171" fontId="8" fillId="0" borderId="35" xfId="0" applyNumberFormat="1" applyFont="1" applyBorder="1" applyAlignment="1">
      <alignment horizontal="left" vertical="center"/>
    </xf>
    <xf numFmtId="4" fontId="4" fillId="0" borderId="145" xfId="0" applyNumberFormat="1" applyFont="1" applyBorder="1" applyAlignment="1">
      <alignment horizontal="center" vertical="center"/>
    </xf>
    <xf numFmtId="4" fontId="4" fillId="0" borderId="146" xfId="0" applyNumberFormat="1" applyFont="1" applyBorder="1" applyAlignment="1">
      <alignment horizontal="center" vertical="center"/>
    </xf>
    <xf numFmtId="165" fontId="4" fillId="0" borderId="147" xfId="0" applyNumberFormat="1" applyFont="1" applyBorder="1" applyAlignment="1">
      <alignment horizontal="center" vertical="center"/>
    </xf>
    <xf numFmtId="4" fontId="4" fillId="0" borderId="148" xfId="0" applyNumberFormat="1" applyFont="1" applyBorder="1" applyAlignment="1">
      <alignment horizontal="center" vertical="center"/>
    </xf>
    <xf numFmtId="4" fontId="4" fillId="0" borderId="149" xfId="0" applyNumberFormat="1" applyFont="1" applyBorder="1" applyAlignment="1">
      <alignment horizontal="center" vertical="center"/>
    </xf>
    <xf numFmtId="4" fontId="4" fillId="0" borderId="140" xfId="0" applyNumberFormat="1" applyFont="1" applyBorder="1" applyAlignment="1">
      <alignment horizontal="center" vertical="center"/>
    </xf>
    <xf numFmtId="4" fontId="6" fillId="2" borderId="150" xfId="0" applyNumberFormat="1" applyFont="1" applyFill="1" applyBorder="1" applyAlignment="1">
      <alignment horizontal="center" vertical="center"/>
    </xf>
    <xf numFmtId="4" fontId="4" fillId="0" borderId="151" xfId="0" applyNumberFormat="1" applyFont="1" applyBorder="1" applyAlignment="1">
      <alignment horizontal="center" vertical="center"/>
    </xf>
    <xf numFmtId="4" fontId="4" fillId="2" borderId="151" xfId="0" applyNumberFormat="1" applyFont="1" applyFill="1" applyBorder="1" applyAlignment="1">
      <alignment horizontal="center" vertical="center"/>
    </xf>
    <xf numFmtId="4" fontId="4" fillId="2" borderId="145" xfId="0" applyNumberFormat="1" applyFont="1" applyFill="1" applyBorder="1" applyAlignment="1">
      <alignment horizontal="center" vertical="center"/>
    </xf>
    <xf numFmtId="4" fontId="4" fillId="0" borderId="152" xfId="0" applyNumberFormat="1" applyFont="1" applyBorder="1" applyAlignment="1">
      <alignment horizontal="center" vertical="center"/>
    </xf>
    <xf numFmtId="4" fontId="6" fillId="2" borderId="151" xfId="0" applyNumberFormat="1" applyFont="1" applyFill="1" applyBorder="1" applyAlignment="1">
      <alignment horizontal="center" vertical="center"/>
    </xf>
    <xf numFmtId="4" fontId="4" fillId="2" borderId="148" xfId="0" applyNumberFormat="1" applyFont="1" applyFill="1" applyBorder="1" applyAlignment="1">
      <alignment horizontal="center" vertical="center"/>
    </xf>
    <xf numFmtId="4" fontId="6" fillId="2" borderId="153" xfId="0" applyNumberFormat="1" applyFont="1" applyFill="1" applyBorder="1" applyAlignment="1">
      <alignment horizontal="center" vertical="center"/>
    </xf>
    <xf numFmtId="4" fontId="6" fillId="2" borderId="148" xfId="0" applyNumberFormat="1" applyFont="1" applyFill="1" applyBorder="1" applyAlignment="1">
      <alignment horizontal="center" vertical="center"/>
    </xf>
    <xf numFmtId="4" fontId="6" fillId="2" borderId="145" xfId="0" applyNumberFormat="1" applyFont="1" applyFill="1" applyBorder="1" applyAlignment="1">
      <alignment horizontal="center" vertical="center"/>
    </xf>
    <xf numFmtId="4" fontId="8" fillId="2" borderId="145" xfId="0" applyNumberFormat="1" applyFont="1" applyFill="1" applyBorder="1" applyAlignment="1">
      <alignment horizontal="center" vertical="center"/>
    </xf>
    <xf numFmtId="4" fontId="8" fillId="2" borderId="148" xfId="0" applyNumberFormat="1" applyFont="1" applyFill="1" applyBorder="1" applyAlignment="1">
      <alignment horizontal="center" vertical="center"/>
    </xf>
    <xf numFmtId="4" fontId="4" fillId="0" borderId="154" xfId="0" applyNumberFormat="1" applyFont="1" applyBorder="1" applyAlignment="1">
      <alignment horizontal="center" vertical="center"/>
    </xf>
    <xf numFmtId="165" fontId="6" fillId="0" borderId="155" xfId="0" applyNumberFormat="1" applyFont="1" applyBorder="1" applyAlignment="1">
      <alignment horizontal="center" vertical="center"/>
    </xf>
    <xf numFmtId="165" fontId="8" fillId="2" borderId="156" xfId="0" applyNumberFormat="1" applyFont="1" applyFill="1" applyBorder="1" applyAlignment="1">
      <alignment horizontal="center" vertical="center"/>
    </xf>
    <xf numFmtId="165" fontId="4" fillId="0" borderId="157" xfId="0" applyNumberFormat="1" applyFont="1" applyBorder="1" applyAlignment="1">
      <alignment horizontal="center" vertical="center"/>
    </xf>
    <xf numFmtId="165" fontId="4" fillId="0" borderId="158" xfId="0" applyNumberFormat="1" applyFont="1" applyBorder="1" applyAlignment="1">
      <alignment horizontal="center" vertical="center"/>
    </xf>
    <xf numFmtId="165" fontId="4" fillId="0" borderId="159" xfId="0" applyNumberFormat="1" applyFont="1" applyBorder="1" applyAlignment="1">
      <alignment horizontal="center" vertical="center"/>
    </xf>
    <xf numFmtId="165" fontId="6" fillId="2" borderId="160" xfId="0" applyNumberFormat="1" applyFont="1" applyFill="1" applyBorder="1" applyAlignment="1">
      <alignment horizontal="center" vertical="center"/>
    </xf>
    <xf numFmtId="165" fontId="8" fillId="2" borderId="157" xfId="0" applyNumberFormat="1" applyFont="1" applyFill="1" applyBorder="1" applyAlignment="1">
      <alignment horizontal="center" vertical="center"/>
    </xf>
    <xf numFmtId="165" fontId="4" fillId="0" borderId="161" xfId="0" applyNumberFormat="1" applyFont="1" applyBorder="1" applyAlignment="1">
      <alignment horizontal="center" vertical="center"/>
    </xf>
    <xf numFmtId="165" fontId="8" fillId="2" borderId="158" xfId="0" applyNumberFormat="1" applyFont="1" applyFill="1" applyBorder="1" applyAlignment="1">
      <alignment horizontal="center" vertical="center"/>
    </xf>
    <xf numFmtId="165" fontId="4" fillId="0" borderId="162" xfId="0" applyNumberFormat="1" applyFont="1" applyBorder="1" applyAlignment="1">
      <alignment horizontal="center" vertical="center"/>
    </xf>
    <xf numFmtId="165" fontId="4" fillId="0" borderId="163" xfId="0" applyNumberFormat="1" applyFont="1" applyBorder="1" applyAlignment="1">
      <alignment horizontal="center" vertical="center"/>
    </xf>
    <xf numFmtId="165" fontId="6" fillId="2" borderId="157" xfId="0" applyNumberFormat="1" applyFont="1" applyFill="1" applyBorder="1" applyAlignment="1">
      <alignment horizontal="center" vertical="center"/>
    </xf>
    <xf numFmtId="165" fontId="8" fillId="2" borderId="164" xfId="0" applyNumberFormat="1" applyFont="1" applyFill="1" applyBorder="1" applyAlignment="1">
      <alignment horizontal="center" vertical="center"/>
    </xf>
    <xf numFmtId="165" fontId="6" fillId="2" borderId="165" xfId="0" applyNumberFormat="1" applyFont="1" applyFill="1" applyBorder="1" applyAlignment="1">
      <alignment horizontal="center" vertical="center"/>
    </xf>
    <xf numFmtId="165" fontId="4" fillId="0" borderId="164" xfId="0" applyNumberFormat="1" applyFont="1" applyBorder="1" applyAlignment="1">
      <alignment horizontal="center" vertical="center"/>
    </xf>
    <xf numFmtId="165" fontId="6" fillId="2" borderId="164" xfId="0" applyNumberFormat="1" applyFont="1" applyFill="1" applyBorder="1" applyAlignment="1">
      <alignment horizontal="center" vertical="center"/>
    </xf>
    <xf numFmtId="165" fontId="6" fillId="2" borderId="158" xfId="0" applyNumberFormat="1" applyFont="1" applyFill="1" applyBorder="1" applyAlignment="1">
      <alignment horizontal="center" vertical="center"/>
    </xf>
    <xf numFmtId="165" fontId="4" fillId="0" borderId="166" xfId="0" applyNumberFormat="1" applyFont="1" applyBorder="1" applyAlignment="1">
      <alignment horizontal="center" vertical="center"/>
    </xf>
    <xf numFmtId="165" fontId="4" fillId="0" borderId="167" xfId="0" applyNumberFormat="1" applyFont="1" applyBorder="1" applyAlignment="1">
      <alignment horizontal="center" vertical="center"/>
    </xf>
    <xf numFmtId="165" fontId="4" fillId="0" borderId="168" xfId="0" applyNumberFormat="1" applyFont="1" applyBorder="1" applyAlignment="1">
      <alignment horizontal="center" vertical="center"/>
    </xf>
    <xf numFmtId="4" fontId="8" fillId="0" borderId="18" xfId="0" applyNumberFormat="1" applyFont="1" applyBorder="1" applyAlignment="1">
      <alignment horizontal="center" vertical="center"/>
    </xf>
    <xf numFmtId="165" fontId="6" fillId="0" borderId="141" xfId="0" applyNumberFormat="1" applyFont="1" applyBorder="1" applyAlignment="1">
      <alignment horizontal="center" vertical="center"/>
    </xf>
    <xf numFmtId="170" fontId="8" fillId="2" borderId="169" xfId="0" applyNumberFormat="1" applyFont="1" applyFill="1" applyBorder="1" applyAlignment="1">
      <alignment horizontal="center" vertical="center"/>
    </xf>
    <xf numFmtId="170" fontId="8" fillId="2" borderId="103" xfId="0" applyNumberFormat="1" applyFont="1" applyFill="1" applyBorder="1" applyAlignment="1">
      <alignment horizontal="center" vertical="center"/>
    </xf>
    <xf numFmtId="170" fontId="8" fillId="2" borderId="79" xfId="0" applyNumberFormat="1" applyFont="1" applyFill="1" applyBorder="1" applyAlignment="1">
      <alignment horizontal="center" vertical="center"/>
    </xf>
    <xf numFmtId="170" fontId="8" fillId="2" borderId="27" xfId="0" applyNumberFormat="1" applyFont="1" applyFill="1" applyBorder="1" applyAlignment="1">
      <alignment horizontal="center" vertical="center"/>
    </xf>
    <xf numFmtId="170" fontId="8" fillId="2" borderId="170" xfId="0" applyNumberFormat="1" applyFont="1" applyFill="1" applyBorder="1" applyAlignment="1">
      <alignment horizontal="center" vertical="center"/>
    </xf>
    <xf numFmtId="170" fontId="8" fillId="2" borderId="143" xfId="0" applyNumberFormat="1" applyFont="1" applyFill="1" applyBorder="1" applyAlignment="1">
      <alignment horizontal="center" vertical="center"/>
    </xf>
    <xf numFmtId="165" fontId="4" fillId="0" borderId="171" xfId="0" applyNumberFormat="1" applyFont="1" applyBorder="1" applyAlignment="1">
      <alignment horizontal="center" vertical="center"/>
    </xf>
    <xf numFmtId="4" fontId="4" fillId="0" borderId="17" xfId="0" applyNumberFormat="1" applyFont="1" applyBorder="1" applyAlignment="1">
      <alignment horizontal="center" vertical="center"/>
    </xf>
    <xf numFmtId="4" fontId="6" fillId="0" borderId="172" xfId="0" applyNumberFormat="1" applyFont="1" applyBorder="1" applyAlignment="1">
      <alignment horizontal="center" vertical="center"/>
    </xf>
    <xf numFmtId="4" fontId="4" fillId="0" borderId="170" xfId="0" applyNumberFormat="1" applyFont="1" applyBorder="1" applyAlignment="1">
      <alignment horizontal="center" vertical="center"/>
    </xf>
    <xf numFmtId="4" fontId="4" fillId="0" borderId="173" xfId="0" applyNumberFormat="1" applyFont="1" applyBorder="1" applyAlignment="1">
      <alignment horizontal="center" vertical="center"/>
    </xf>
    <xf numFmtId="4" fontId="5" fillId="0" borderId="141" xfId="0" applyNumberFormat="1" applyFont="1" applyBorder="1" applyAlignment="1">
      <alignment horizontal="center" vertical="center"/>
    </xf>
    <xf numFmtId="170" fontId="8" fillId="2" borderId="174" xfId="0" applyNumberFormat="1" applyFont="1" applyFill="1" applyBorder="1" applyAlignment="1">
      <alignment horizontal="center" vertical="center"/>
    </xf>
    <xf numFmtId="165" fontId="4" fillId="0" borderId="79" xfId="0" applyNumberFormat="1" applyFont="1" applyBorder="1" applyAlignment="1">
      <alignment horizontal="center" vertical="center"/>
    </xf>
    <xf numFmtId="165" fontId="4" fillId="0" borderId="86" xfId="0" applyNumberFormat="1" applyFont="1" applyBorder="1" applyAlignment="1">
      <alignment horizontal="center" vertical="center"/>
    </xf>
    <xf numFmtId="165" fontId="6" fillId="6" borderId="2" xfId="0" applyNumberFormat="1" applyFont="1" applyFill="1" applyBorder="1" applyAlignment="1">
      <alignment horizontal="center" vertical="center"/>
    </xf>
    <xf numFmtId="170" fontId="8" fillId="2" borderId="31" xfId="0" applyNumberFormat="1" applyFont="1" applyFill="1" applyBorder="1" applyAlignment="1">
      <alignment horizontal="center" vertical="center"/>
    </xf>
    <xf numFmtId="0" fontId="19" fillId="0" borderId="195" xfId="20" applyFont="1" applyFill="1" applyBorder="1" applyAlignment="1">
      <alignment horizontal="left" vertical="center"/>
    </xf>
    <xf numFmtId="0" fontId="19" fillId="0" borderId="196" xfId="20" applyFont="1" applyFill="1" applyBorder="1" applyAlignment="1">
      <alignment horizontal="left" vertical="center"/>
    </xf>
    <xf numFmtId="0" fontId="19" fillId="0" borderId="198" xfId="20" applyFont="1" applyFill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10" fillId="8" borderId="19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19" fillId="0" borderId="197" xfId="2" applyNumberFormat="1" applyFont="1" applyFill="1" applyBorder="1" applyAlignment="1">
      <alignment horizontal="center" vertical="center"/>
    </xf>
    <xf numFmtId="179" fontId="6" fillId="8" borderId="201" xfId="0" applyNumberFormat="1" applyFont="1" applyFill="1" applyBorder="1" applyAlignment="1">
      <alignment horizontal="center" vertical="center"/>
    </xf>
    <xf numFmtId="166" fontId="19" fillId="0" borderId="196" xfId="2" applyNumberFormat="1" applyFont="1" applyFill="1" applyBorder="1" applyAlignment="1">
      <alignment horizontal="center" vertical="center"/>
    </xf>
    <xf numFmtId="166" fontId="19" fillId="0" borderId="195" xfId="2" applyNumberFormat="1" applyFont="1" applyFill="1" applyBorder="1" applyAlignment="1">
      <alignment horizontal="center" vertical="center"/>
    </xf>
    <xf numFmtId="0" fontId="4" fillId="0" borderId="199" xfId="0" applyFont="1" applyFill="1" applyBorder="1" applyAlignment="1">
      <alignment horizontal="center" vertical="center"/>
    </xf>
    <xf numFmtId="167" fontId="19" fillId="0" borderId="196" xfId="2" applyNumberFormat="1" applyFont="1" applyFill="1" applyBorder="1" applyAlignment="1">
      <alignment horizontal="center" vertical="center"/>
    </xf>
    <xf numFmtId="10" fontId="19" fillId="0" borderId="196" xfId="2" applyNumberFormat="1" applyFont="1" applyFill="1" applyBorder="1" applyAlignment="1">
      <alignment horizontal="center" vertical="center"/>
    </xf>
    <xf numFmtId="166" fontId="19" fillId="0" borderId="198" xfId="2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0" fontId="4" fillId="0" borderId="199" xfId="2" applyNumberFormat="1" applyFont="1" applyFill="1" applyBorder="1" applyAlignment="1">
      <alignment horizontal="center" vertical="center"/>
    </xf>
    <xf numFmtId="0" fontId="19" fillId="0" borderId="191" xfId="20" applyFont="1" applyFill="1" applyBorder="1" applyAlignment="1">
      <alignment horizontal="center" vertical="center"/>
    </xf>
    <xf numFmtId="10" fontId="4" fillId="0" borderId="194" xfId="2" applyNumberFormat="1" applyFont="1" applyFill="1" applyBorder="1" applyAlignment="1">
      <alignment horizontal="center" vertical="center"/>
    </xf>
    <xf numFmtId="10" fontId="4" fillId="0" borderId="187" xfId="2" applyNumberFormat="1" applyFont="1" applyFill="1" applyBorder="1" applyAlignment="1">
      <alignment horizontal="center" vertical="center"/>
    </xf>
    <xf numFmtId="10" fontId="4" fillId="0" borderId="207" xfId="2" applyNumberFormat="1" applyFont="1" applyFill="1" applyBorder="1" applyAlignment="1">
      <alignment horizontal="center" vertical="center"/>
    </xf>
    <xf numFmtId="10" fontId="4" fillId="0" borderId="208" xfId="2" applyNumberFormat="1" applyFont="1" applyFill="1" applyBorder="1" applyAlignment="1">
      <alignment horizontal="center" vertical="center"/>
    </xf>
    <xf numFmtId="0" fontId="4" fillId="0" borderId="208" xfId="0" applyFont="1" applyFill="1" applyBorder="1" applyAlignment="1">
      <alignment horizontal="center" vertical="center"/>
    </xf>
    <xf numFmtId="0" fontId="4" fillId="0" borderId="204" xfId="0" applyFont="1" applyFill="1" applyBorder="1" applyAlignment="1">
      <alignment horizontal="center" vertical="center"/>
    </xf>
    <xf numFmtId="0" fontId="4" fillId="0" borderId="188" xfId="0" applyFont="1" applyFill="1" applyBorder="1" applyAlignment="1">
      <alignment horizontal="center" vertical="center"/>
    </xf>
    <xf numFmtId="0" fontId="4" fillId="0" borderId="79" xfId="0" applyFont="1" applyFill="1" applyBorder="1" applyAlignment="1">
      <alignment horizontal="center" vertical="center"/>
    </xf>
    <xf numFmtId="0" fontId="4" fillId="0" borderId="209" xfId="0" applyFont="1" applyFill="1" applyBorder="1" applyAlignment="1">
      <alignment horizontal="center" vertical="center"/>
    </xf>
    <xf numFmtId="10" fontId="4" fillId="0" borderId="122" xfId="0" applyNumberFormat="1" applyFont="1" applyFill="1" applyBorder="1" applyAlignment="1">
      <alignment horizontal="center" vertical="center"/>
    </xf>
    <xf numFmtId="0" fontId="22" fillId="0" borderId="201" xfId="0" applyFont="1" applyBorder="1" applyAlignment="1">
      <alignment horizontal="center" vertical="center"/>
    </xf>
    <xf numFmtId="0" fontId="22" fillId="7" borderId="205" xfId="0" applyFont="1" applyFill="1" applyBorder="1" applyAlignment="1">
      <alignment horizontal="center" vertical="center"/>
    </xf>
    <xf numFmtId="0" fontId="22" fillId="7" borderId="210" xfId="0" applyFont="1" applyFill="1" applyBorder="1" applyAlignment="1">
      <alignment horizontal="center" vertical="center"/>
    </xf>
    <xf numFmtId="179" fontId="6" fillId="8" borderId="188" xfId="0" applyNumberFormat="1" applyFont="1" applyFill="1" applyBorder="1" applyAlignment="1">
      <alignment horizontal="center" vertical="center"/>
    </xf>
    <xf numFmtId="179" fontId="6" fillId="8" borderId="79" xfId="0" applyNumberFormat="1" applyFont="1" applyFill="1" applyBorder="1" applyAlignment="1">
      <alignment horizontal="center" vertical="center"/>
    </xf>
    <xf numFmtId="179" fontId="6" fillId="8" borderId="209" xfId="0" applyNumberFormat="1" applyFont="1" applyFill="1" applyBorder="1" applyAlignment="1">
      <alignment horizontal="center" vertical="center"/>
    </xf>
    <xf numFmtId="10" fontId="6" fillId="0" borderId="200" xfId="2" applyNumberFormat="1" applyFont="1" applyBorder="1" applyAlignment="1">
      <alignment horizontal="center" vertical="center"/>
    </xf>
    <xf numFmtId="10" fontId="6" fillId="0" borderId="201" xfId="2" applyNumberFormat="1" applyFont="1" applyBorder="1" applyAlignment="1">
      <alignment horizontal="center" vertical="center"/>
    </xf>
    <xf numFmtId="10" fontId="6" fillId="0" borderId="202" xfId="2" applyNumberFormat="1" applyFont="1" applyBorder="1" applyAlignment="1">
      <alignment horizontal="center" vertical="center"/>
    </xf>
    <xf numFmtId="176" fontId="10" fillId="9" borderId="74" xfId="0" applyNumberFormat="1" applyFont="1" applyFill="1" applyBorder="1" applyAlignment="1">
      <alignment horizontal="center" vertical="center" textRotation="255"/>
    </xf>
    <xf numFmtId="176" fontId="10" fillId="9" borderId="201" xfId="0" applyNumberFormat="1" applyFont="1" applyFill="1" applyBorder="1" applyAlignment="1">
      <alignment horizontal="center" vertical="center" textRotation="255"/>
    </xf>
    <xf numFmtId="0" fontId="22" fillId="7" borderId="206" xfId="0" applyFont="1" applyFill="1" applyBorder="1" applyAlignment="1">
      <alignment horizontal="center" vertical="center"/>
    </xf>
    <xf numFmtId="7" fontId="6" fillId="0" borderId="122" xfId="30" applyNumberFormat="1" applyFont="1" applyFill="1" applyBorder="1" applyAlignment="1">
      <alignment horizontal="right" vertical="center"/>
    </xf>
    <xf numFmtId="7" fontId="6" fillId="0" borderId="0" xfId="30" applyNumberFormat="1" applyFont="1" applyFill="1" applyBorder="1" applyAlignment="1">
      <alignment horizontal="right" vertical="center"/>
    </xf>
    <xf numFmtId="10" fontId="4" fillId="0" borderId="0" xfId="0" applyNumberFormat="1" applyFont="1" applyFill="1" applyBorder="1" applyAlignment="1">
      <alignment horizontal="center" vertical="center"/>
    </xf>
    <xf numFmtId="0" fontId="22" fillId="7" borderId="212" xfId="0" applyFont="1" applyFill="1" applyBorder="1" applyAlignment="1">
      <alignment horizontal="center" vertical="center"/>
    </xf>
    <xf numFmtId="0" fontId="22" fillId="0" borderId="200" xfId="0" applyFont="1" applyBorder="1" applyAlignment="1">
      <alignment horizontal="center" vertical="center"/>
    </xf>
    <xf numFmtId="179" fontId="6" fillId="8" borderId="200" xfId="0" applyNumberFormat="1" applyFont="1" applyFill="1" applyBorder="1" applyAlignment="1">
      <alignment horizontal="center" vertical="center"/>
    </xf>
    <xf numFmtId="0" fontId="4" fillId="0" borderId="189" xfId="0" applyFont="1" applyBorder="1" applyAlignment="1">
      <alignment horizontal="center" vertical="center"/>
    </xf>
    <xf numFmtId="176" fontId="10" fillId="9" borderId="200" xfId="0" applyNumberFormat="1" applyFont="1" applyFill="1" applyBorder="1" applyAlignment="1">
      <alignment horizontal="center" vertical="center" textRotation="255"/>
    </xf>
    <xf numFmtId="179" fontId="23" fillId="8" borderId="209" xfId="0" applyNumberFormat="1" applyFont="1" applyFill="1" applyBorder="1" applyAlignment="1">
      <alignment horizontal="center" vertical="center"/>
    </xf>
    <xf numFmtId="179" fontId="25" fillId="11" borderId="202" xfId="0" applyNumberFormat="1" applyFont="1" applyFill="1" applyBorder="1" applyAlignment="1">
      <alignment horizontal="center" vertical="center"/>
    </xf>
    <xf numFmtId="10" fontId="6" fillId="11" borderId="202" xfId="2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11" borderId="192" xfId="0" applyFont="1" applyFill="1" applyBorder="1" applyAlignment="1">
      <alignment horizontal="center" vertical="center"/>
    </xf>
    <xf numFmtId="176" fontId="10" fillId="11" borderId="202" xfId="0" applyNumberFormat="1" applyFont="1" applyFill="1" applyBorder="1" applyAlignment="1">
      <alignment horizontal="center" vertical="center" textRotation="255"/>
    </xf>
    <xf numFmtId="176" fontId="26" fillId="11" borderId="202" xfId="0" applyNumberFormat="1" applyFont="1" applyFill="1" applyBorder="1" applyAlignment="1">
      <alignment horizontal="center" vertical="center" textRotation="255"/>
    </xf>
    <xf numFmtId="0" fontId="22" fillId="0" borderId="202" xfId="0" applyFont="1" applyBorder="1" applyAlignment="1">
      <alignment horizontal="center" vertical="center"/>
    </xf>
    <xf numFmtId="179" fontId="6" fillId="8" borderId="202" xfId="0" applyNumberFormat="1" applyFont="1" applyFill="1" applyBorder="1" applyAlignment="1">
      <alignment horizontal="center" vertical="center"/>
    </xf>
    <xf numFmtId="0" fontId="4" fillId="0" borderId="192" xfId="0" applyFont="1" applyBorder="1" applyAlignment="1">
      <alignment horizontal="center" vertical="center"/>
    </xf>
    <xf numFmtId="176" fontId="10" fillId="9" borderId="202" xfId="0" applyNumberFormat="1" applyFont="1" applyFill="1" applyBorder="1" applyAlignment="1">
      <alignment horizontal="center" vertical="center" textRotation="255"/>
    </xf>
    <xf numFmtId="176" fontId="10" fillId="9" borderId="75" xfId="0" applyNumberFormat="1" applyFont="1" applyFill="1" applyBorder="1" applyAlignment="1">
      <alignment horizontal="center" vertical="center" textRotation="255"/>
    </xf>
    <xf numFmtId="0" fontId="4" fillId="0" borderId="84" xfId="0" applyFont="1" applyFill="1" applyBorder="1" applyAlignment="1">
      <alignment horizontal="center" vertical="center"/>
    </xf>
    <xf numFmtId="0" fontId="22" fillId="0" borderId="193" xfId="0" applyFont="1" applyBorder="1" applyAlignment="1">
      <alignment horizontal="center" vertical="center"/>
    </xf>
    <xf numFmtId="179" fontId="25" fillId="8" borderId="202" xfId="0" applyNumberFormat="1" applyFont="1" applyFill="1" applyBorder="1" applyAlignment="1">
      <alignment horizontal="center" vertical="center"/>
    </xf>
    <xf numFmtId="10" fontId="27" fillId="0" borderId="0" xfId="0" applyNumberFormat="1" applyFont="1" applyAlignment="1">
      <alignment horizontal="center" vertical="center"/>
    </xf>
    <xf numFmtId="10" fontId="6" fillId="12" borderId="200" xfId="2" applyNumberFormat="1" applyFont="1" applyFill="1" applyBorder="1" applyAlignment="1">
      <alignment horizontal="center" vertical="center"/>
    </xf>
    <xf numFmtId="10" fontId="6" fillId="12" borderId="201" xfId="2" applyNumberFormat="1" applyFont="1" applyFill="1" applyBorder="1" applyAlignment="1">
      <alignment horizontal="center" vertical="center"/>
    </xf>
    <xf numFmtId="10" fontId="23" fillId="11" borderId="202" xfId="2" applyNumberFormat="1" applyFont="1" applyFill="1" applyBorder="1" applyAlignment="1">
      <alignment horizontal="center" vertical="center"/>
    </xf>
    <xf numFmtId="10" fontId="23" fillId="12" borderId="202" xfId="2" applyNumberFormat="1" applyFont="1" applyFill="1" applyBorder="1" applyAlignment="1">
      <alignment horizontal="center" vertical="center"/>
    </xf>
    <xf numFmtId="179" fontId="25" fillId="8" borderId="200" xfId="0" applyNumberFormat="1" applyFont="1" applyFill="1" applyBorder="1" applyAlignment="1">
      <alignment horizontal="center" vertical="center"/>
    </xf>
    <xf numFmtId="10" fontId="4" fillId="0" borderId="213" xfId="2" applyNumberFormat="1" applyFont="1" applyFill="1" applyBorder="1" applyAlignment="1">
      <alignment horizontal="center" vertical="center"/>
    </xf>
    <xf numFmtId="10" fontId="4" fillId="0" borderId="76" xfId="2" applyNumberFormat="1" applyFont="1" applyFill="1" applyBorder="1" applyAlignment="1">
      <alignment horizontal="center" vertical="center"/>
    </xf>
    <xf numFmtId="10" fontId="4" fillId="0" borderId="214" xfId="2" applyNumberFormat="1" applyFont="1" applyFill="1" applyBorder="1" applyAlignment="1">
      <alignment horizontal="center" vertical="center"/>
    </xf>
    <xf numFmtId="10" fontId="4" fillId="0" borderId="213" xfId="0" applyNumberFormat="1" applyFont="1" applyFill="1" applyBorder="1" applyAlignment="1">
      <alignment horizontal="center" vertical="center"/>
    </xf>
    <xf numFmtId="0" fontId="4" fillId="0" borderId="76" xfId="0" applyFont="1" applyFill="1" applyBorder="1" applyAlignment="1">
      <alignment horizontal="center" vertical="center"/>
    </xf>
    <xf numFmtId="166" fontId="4" fillId="0" borderId="214" xfId="0" applyNumberFormat="1" applyFont="1" applyFill="1" applyBorder="1" applyAlignment="1">
      <alignment horizontal="center" vertical="center"/>
    </xf>
    <xf numFmtId="0" fontId="4" fillId="0" borderId="213" xfId="0" applyFont="1" applyFill="1" applyBorder="1" applyAlignment="1">
      <alignment horizontal="center" vertical="center"/>
    </xf>
    <xf numFmtId="166" fontId="4" fillId="0" borderId="213" xfId="0" applyNumberFormat="1" applyFont="1" applyFill="1" applyBorder="1" applyAlignment="1">
      <alignment horizontal="center" vertical="center"/>
    </xf>
    <xf numFmtId="0" fontId="4" fillId="0" borderId="214" xfId="0" applyFont="1" applyFill="1" applyBorder="1" applyAlignment="1">
      <alignment horizontal="center" vertical="center"/>
    </xf>
    <xf numFmtId="166" fontId="4" fillId="0" borderId="214" xfId="2" applyNumberFormat="1" applyFont="1" applyFill="1" applyBorder="1" applyAlignment="1">
      <alignment horizontal="center" vertical="center"/>
    </xf>
    <xf numFmtId="10" fontId="4" fillId="0" borderId="76" xfId="0" applyNumberFormat="1" applyFont="1" applyFill="1" applyBorder="1" applyAlignment="1">
      <alignment horizontal="center" vertical="center"/>
    </xf>
    <xf numFmtId="166" fontId="4" fillId="0" borderId="76" xfId="0" applyNumberFormat="1" applyFont="1" applyFill="1" applyBorder="1" applyAlignment="1">
      <alignment horizontal="center" vertical="center"/>
    </xf>
    <xf numFmtId="10" fontId="4" fillId="0" borderId="76" xfId="2" quotePrefix="1" applyNumberFormat="1" applyFont="1" applyFill="1" applyBorder="1" applyAlignment="1">
      <alignment horizontal="center" vertical="center"/>
    </xf>
    <xf numFmtId="10" fontId="4" fillId="0" borderId="214" xfId="2" quotePrefix="1" applyNumberFormat="1" applyFont="1" applyFill="1" applyBorder="1" applyAlignment="1">
      <alignment horizontal="center" vertical="center"/>
    </xf>
    <xf numFmtId="176" fontId="26" fillId="12" borderId="202" xfId="0" applyNumberFormat="1" applyFont="1" applyFill="1" applyBorder="1" applyAlignment="1">
      <alignment horizontal="center" vertical="center" textRotation="255"/>
    </xf>
    <xf numFmtId="0" fontId="6" fillId="8" borderId="200" xfId="0" applyFont="1" applyFill="1" applyBorder="1" applyAlignment="1">
      <alignment horizontal="center" vertical="center"/>
    </xf>
    <xf numFmtId="0" fontId="6" fillId="8" borderId="201" xfId="0" applyFont="1" applyFill="1" applyBorder="1" applyAlignment="1">
      <alignment horizontal="center" vertical="center"/>
    </xf>
    <xf numFmtId="0" fontId="6" fillId="8" borderId="202" xfId="0" applyFont="1" applyFill="1" applyBorder="1" applyAlignment="1">
      <alignment horizontal="center" vertical="center"/>
    </xf>
    <xf numFmtId="166" fontId="18" fillId="12" borderId="74" xfId="2" applyNumberFormat="1" applyFont="1" applyFill="1" applyBorder="1" applyAlignment="1">
      <alignment horizontal="center" vertical="center"/>
    </xf>
    <xf numFmtId="166" fontId="18" fillId="12" borderId="203" xfId="2" applyNumberFormat="1" applyFont="1" applyFill="1" applyBorder="1" applyAlignment="1">
      <alignment horizontal="center" vertical="center"/>
    </xf>
    <xf numFmtId="166" fontId="18" fillId="12" borderId="202" xfId="2" applyNumberFormat="1" applyFont="1" applyFill="1" applyBorder="1" applyAlignment="1">
      <alignment horizontal="center" vertical="center"/>
    </xf>
    <xf numFmtId="0" fontId="19" fillId="7" borderId="196" xfId="20" applyFont="1" applyFill="1" applyBorder="1" applyAlignment="1">
      <alignment horizontal="left" vertical="center"/>
    </xf>
    <xf numFmtId="166" fontId="19" fillId="7" borderId="196" xfId="2" applyNumberFormat="1" applyFont="1" applyFill="1" applyBorder="1" applyAlignment="1">
      <alignment horizontal="center" vertical="center"/>
    </xf>
    <xf numFmtId="10" fontId="4" fillId="7" borderId="213" xfId="2" applyNumberFormat="1" applyFont="1" applyFill="1" applyBorder="1" applyAlignment="1">
      <alignment horizontal="center" vertical="center"/>
    </xf>
    <xf numFmtId="10" fontId="4" fillId="7" borderId="76" xfId="2" applyNumberFormat="1" applyFont="1" applyFill="1" applyBorder="1" applyAlignment="1">
      <alignment horizontal="center" vertical="center"/>
    </xf>
    <xf numFmtId="10" fontId="4" fillId="7" borderId="214" xfId="2" applyNumberFormat="1" applyFont="1" applyFill="1" applyBorder="1" applyAlignment="1">
      <alignment horizontal="center" vertical="center"/>
    </xf>
    <xf numFmtId="0" fontId="29" fillId="0" borderId="84" xfId="0" applyFont="1" applyFill="1" applyBorder="1" applyAlignment="1">
      <alignment horizontal="center" vertical="center"/>
    </xf>
    <xf numFmtId="10" fontId="28" fillId="0" borderId="122" xfId="0" applyNumberFormat="1" applyFont="1" applyFill="1" applyBorder="1" applyAlignment="1">
      <alignment vertical="center"/>
    </xf>
    <xf numFmtId="7" fontId="28" fillId="0" borderId="122" xfId="30" applyNumberFormat="1" applyFont="1" applyFill="1" applyBorder="1" applyAlignment="1">
      <alignment horizontal="right" vertical="center"/>
    </xf>
    <xf numFmtId="180" fontId="10" fillId="12" borderId="202" xfId="0" applyNumberFormat="1" applyFont="1" applyFill="1" applyBorder="1" applyAlignment="1">
      <alignment horizontal="center" vertical="center" textRotation="255"/>
    </xf>
    <xf numFmtId="10" fontId="19" fillId="7" borderId="196" xfId="2" applyNumberFormat="1" applyFont="1" applyFill="1" applyBorder="1" applyAlignment="1">
      <alignment horizontal="center" vertical="center"/>
    </xf>
    <xf numFmtId="181" fontId="27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80" fontId="4" fillId="0" borderId="0" xfId="0" applyNumberFormat="1" applyFont="1" applyAlignment="1">
      <alignment horizontal="center" vertical="center"/>
    </xf>
    <xf numFmtId="166" fontId="6" fillId="3" borderId="69" xfId="2" applyNumberFormat="1" applyFont="1" applyFill="1" applyBorder="1" applyAlignment="1">
      <alignment horizontal="center" vertical="center"/>
    </xf>
    <xf numFmtId="166" fontId="6" fillId="3" borderId="116" xfId="2" applyNumberFormat="1" applyFont="1" applyFill="1" applyBorder="1" applyAlignment="1">
      <alignment horizontal="center" vertical="center"/>
    </xf>
    <xf numFmtId="166" fontId="6" fillId="3" borderId="119" xfId="2" applyNumberFormat="1" applyFont="1" applyFill="1" applyBorder="1" applyAlignment="1">
      <alignment horizontal="center" vertical="center"/>
    </xf>
    <xf numFmtId="166" fontId="6" fillId="3" borderId="67" xfId="2" applyNumberFormat="1" applyFont="1" applyFill="1" applyBorder="1" applyAlignment="1">
      <alignment horizontal="center" vertical="center"/>
    </xf>
    <xf numFmtId="166" fontId="6" fillId="3" borderId="176" xfId="2" applyNumberFormat="1" applyFont="1" applyFill="1" applyBorder="1" applyAlignment="1">
      <alignment horizontal="center" vertical="center"/>
    </xf>
    <xf numFmtId="166" fontId="6" fillId="3" borderId="177" xfId="2" applyNumberFormat="1" applyFont="1" applyFill="1" applyBorder="1" applyAlignment="1">
      <alignment horizontal="center" vertical="center"/>
    </xf>
    <xf numFmtId="166" fontId="8" fillId="3" borderId="72" xfId="2" applyNumberFormat="1" applyFont="1" applyFill="1" applyBorder="1" applyAlignment="1">
      <alignment horizontal="center" vertical="center"/>
    </xf>
    <xf numFmtId="166" fontId="8" fillId="3" borderId="176" xfId="2" applyNumberFormat="1" applyFont="1" applyFill="1" applyBorder="1" applyAlignment="1">
      <alignment horizontal="center" vertical="center"/>
    </xf>
    <xf numFmtId="166" fontId="8" fillId="3" borderId="69" xfId="2" applyNumberFormat="1" applyFont="1" applyFill="1" applyBorder="1" applyAlignment="1">
      <alignment horizontal="center" vertical="center"/>
    </xf>
    <xf numFmtId="166" fontId="8" fillId="3" borderId="116" xfId="2" applyNumberFormat="1" applyFont="1" applyFill="1" applyBorder="1" applyAlignment="1">
      <alignment horizontal="center" vertical="center"/>
    </xf>
    <xf numFmtId="166" fontId="8" fillId="3" borderId="67" xfId="2" applyNumberFormat="1" applyFont="1" applyFill="1" applyBorder="1" applyAlignment="1">
      <alignment horizontal="center" vertical="center"/>
    </xf>
    <xf numFmtId="166" fontId="6" fillId="3" borderId="68" xfId="2" applyNumberFormat="1" applyFont="1" applyFill="1" applyBorder="1" applyAlignment="1">
      <alignment horizontal="center" vertical="center"/>
    </xf>
    <xf numFmtId="166" fontId="6" fillId="3" borderId="110" xfId="2" applyNumberFormat="1" applyFont="1" applyFill="1" applyBorder="1" applyAlignment="1">
      <alignment horizontal="center" vertical="center"/>
    </xf>
    <xf numFmtId="166" fontId="6" fillId="3" borderId="120" xfId="2" applyNumberFormat="1" applyFont="1" applyFill="1" applyBorder="1" applyAlignment="1">
      <alignment horizontal="center" vertical="center"/>
    </xf>
    <xf numFmtId="166" fontId="6" fillId="3" borderId="66" xfId="2" applyNumberFormat="1" applyFont="1" applyFill="1" applyBorder="1" applyAlignment="1">
      <alignment horizontal="center" vertical="center"/>
    </xf>
    <xf numFmtId="166" fontId="6" fillId="3" borderId="179" xfId="2" applyNumberFormat="1" applyFont="1" applyFill="1" applyBorder="1" applyAlignment="1">
      <alignment horizontal="center" vertical="center"/>
    </xf>
    <xf numFmtId="166" fontId="6" fillId="3" borderId="106" xfId="2" applyNumberFormat="1" applyFont="1" applyFill="1" applyBorder="1" applyAlignment="1">
      <alignment horizontal="center" vertical="center"/>
    </xf>
    <xf numFmtId="166" fontId="12" fillId="5" borderId="60" xfId="2" applyNumberFormat="1" applyFont="1" applyFill="1" applyBorder="1" applyAlignment="1">
      <alignment horizontal="center" vertical="center"/>
    </xf>
    <xf numFmtId="166" fontId="12" fillId="5" borderId="62" xfId="2" applyNumberFormat="1" applyFont="1" applyFill="1" applyBorder="1" applyAlignment="1">
      <alignment horizontal="center" vertical="center"/>
    </xf>
    <xf numFmtId="166" fontId="9" fillId="2" borderId="15" xfId="2" applyNumberFormat="1" applyFont="1" applyFill="1" applyBorder="1" applyAlignment="1">
      <alignment horizontal="center" vertical="center"/>
    </xf>
    <xf numFmtId="166" fontId="9" fillId="2" borderId="51" xfId="2" applyNumberFormat="1" applyFont="1" applyFill="1" applyBorder="1" applyAlignment="1">
      <alignment horizontal="center" vertical="center"/>
    </xf>
    <xf numFmtId="168" fontId="11" fillId="5" borderId="16" xfId="2" applyNumberFormat="1" applyFont="1" applyFill="1" applyBorder="1" applyAlignment="1">
      <alignment horizontal="center" vertical="center"/>
    </xf>
    <xf numFmtId="168" fontId="11" fillId="5" borderId="63" xfId="2" applyNumberFormat="1" applyFont="1" applyFill="1" applyBorder="1" applyAlignment="1">
      <alignment horizontal="center" vertical="center"/>
    </xf>
    <xf numFmtId="166" fontId="6" fillId="2" borderId="19" xfId="2" applyNumberFormat="1" applyFont="1" applyFill="1" applyBorder="1" applyAlignment="1">
      <alignment horizontal="center" vertical="center"/>
    </xf>
    <xf numFmtId="166" fontId="6" fillId="2" borderId="178" xfId="2" applyNumberFormat="1" applyFont="1" applyFill="1" applyBorder="1" applyAlignment="1">
      <alignment horizontal="center" vertical="center"/>
    </xf>
    <xf numFmtId="166" fontId="6" fillId="3" borderId="72" xfId="2" applyNumberFormat="1" applyFont="1" applyFill="1" applyBorder="1" applyAlignment="1">
      <alignment horizontal="center" vertical="center"/>
    </xf>
    <xf numFmtId="166" fontId="6" fillId="3" borderId="104" xfId="2" applyNumberFormat="1" applyFont="1" applyFill="1" applyBorder="1" applyAlignment="1">
      <alignment horizontal="center" vertical="center"/>
    </xf>
    <xf numFmtId="166" fontId="6" fillId="3" borderId="65" xfId="2" applyNumberFormat="1" applyFont="1" applyFill="1" applyBorder="1" applyAlignment="1">
      <alignment horizontal="center" vertical="center"/>
    </xf>
    <xf numFmtId="166" fontId="8" fillId="3" borderId="104" xfId="2" applyNumberFormat="1" applyFont="1" applyFill="1" applyBorder="1" applyAlignment="1">
      <alignment horizontal="center" vertical="center"/>
    </xf>
    <xf numFmtId="0" fontId="8" fillId="2" borderId="60" xfId="0" applyFont="1" applyFill="1" applyBorder="1" applyAlignment="1">
      <alignment horizontal="center" vertical="center"/>
    </xf>
    <xf numFmtId="0" fontId="8" fillId="2" borderId="61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81" xfId="0" applyFont="1" applyBorder="1" applyAlignment="1">
      <alignment horizontal="center" vertical="center"/>
    </xf>
    <xf numFmtId="0" fontId="6" fillId="2" borderId="60" xfId="0" applyFont="1" applyFill="1" applyBorder="1" applyAlignment="1">
      <alignment horizontal="left" vertical="center"/>
    </xf>
    <xf numFmtId="0" fontId="6" fillId="2" borderId="182" xfId="0" applyFont="1" applyFill="1" applyBorder="1" applyAlignment="1">
      <alignment horizontal="left" vertical="center"/>
    </xf>
    <xf numFmtId="0" fontId="10" fillId="2" borderId="48" xfId="0" applyFont="1" applyFill="1" applyBorder="1" applyAlignment="1">
      <alignment horizontal="left" vertical="center"/>
    </xf>
    <xf numFmtId="0" fontId="10" fillId="2" borderId="183" xfId="0" applyFont="1" applyFill="1" applyBorder="1" applyAlignment="1">
      <alignment horizontal="left" vertical="center"/>
    </xf>
    <xf numFmtId="0" fontId="10" fillId="2" borderId="95" xfId="0" applyFont="1" applyFill="1" applyBorder="1" applyAlignment="1">
      <alignment horizontal="left" vertical="center"/>
    </xf>
    <xf numFmtId="0" fontId="10" fillId="2" borderId="184" xfId="0" applyFont="1" applyFill="1" applyBorder="1" applyAlignment="1">
      <alignment horizontal="left" vertical="center"/>
    </xf>
    <xf numFmtId="0" fontId="10" fillId="2" borderId="71" xfId="0" applyFont="1" applyFill="1" applyBorder="1" applyAlignment="1">
      <alignment horizontal="left" vertical="center"/>
    </xf>
    <xf numFmtId="0" fontId="10" fillId="2" borderId="180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157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0" fillId="2" borderId="100" xfId="0" applyFont="1" applyFill="1" applyBorder="1" applyAlignment="1">
      <alignment horizontal="left" vertical="center"/>
    </xf>
    <xf numFmtId="0" fontId="10" fillId="2" borderId="165" xfId="0" applyFont="1" applyFill="1" applyBorder="1" applyAlignment="1">
      <alignment horizontal="left" vertical="center"/>
    </xf>
    <xf numFmtId="166" fontId="6" fillId="3" borderId="70" xfId="2" applyNumberFormat="1" applyFont="1" applyFill="1" applyBorder="1" applyAlignment="1">
      <alignment horizontal="center" vertical="center"/>
    </xf>
    <xf numFmtId="166" fontId="6" fillId="3" borderId="115" xfId="2" applyNumberFormat="1" applyFont="1" applyFill="1" applyBorder="1" applyAlignment="1">
      <alignment horizontal="center" vertical="center"/>
    </xf>
    <xf numFmtId="166" fontId="8" fillId="3" borderId="70" xfId="2" applyNumberFormat="1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left" vertical="center"/>
    </xf>
    <xf numFmtId="0" fontId="6" fillId="2" borderId="185" xfId="0" applyFont="1" applyFill="1" applyBorder="1" applyAlignment="1">
      <alignment horizontal="left" vertical="center"/>
    </xf>
    <xf numFmtId="0" fontId="6" fillId="2" borderId="175" xfId="0" applyFont="1" applyFill="1" applyBorder="1" applyAlignment="1">
      <alignment horizontal="left" vertical="center"/>
    </xf>
    <xf numFmtId="0" fontId="6" fillId="2" borderId="186" xfId="0" applyFont="1" applyFill="1" applyBorder="1" applyAlignment="1">
      <alignment horizontal="left" vertical="center"/>
    </xf>
    <xf numFmtId="0" fontId="10" fillId="2" borderId="175" xfId="0" applyFont="1" applyFill="1" applyBorder="1" applyAlignment="1">
      <alignment horizontal="left" vertical="center"/>
    </xf>
    <xf numFmtId="0" fontId="10" fillId="2" borderId="186" xfId="0" applyFont="1" applyFill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158" xfId="0" applyFont="1" applyBorder="1" applyAlignment="1">
      <alignment horizontal="left" vertical="center"/>
    </xf>
    <xf numFmtId="166" fontId="12" fillId="4" borderId="60" xfId="2" applyNumberFormat="1" applyFont="1" applyFill="1" applyBorder="1" applyAlignment="1">
      <alignment horizontal="center" vertical="center"/>
    </xf>
    <xf numFmtId="166" fontId="12" fillId="4" borderId="62" xfId="2" applyNumberFormat="1" applyFont="1" applyFill="1" applyBorder="1" applyAlignment="1">
      <alignment horizontal="center" vertical="center"/>
    </xf>
    <xf numFmtId="166" fontId="14" fillId="2" borderId="15" xfId="2" applyNumberFormat="1" applyFont="1" applyFill="1" applyBorder="1" applyAlignment="1">
      <alignment horizontal="center" vertical="center"/>
    </xf>
    <xf numFmtId="166" fontId="14" fillId="2" borderId="51" xfId="2" applyNumberFormat="1" applyFont="1" applyFill="1" applyBorder="1" applyAlignment="1">
      <alignment horizontal="center" vertical="center"/>
    </xf>
    <xf numFmtId="168" fontId="11" fillId="4" borderId="16" xfId="2" applyNumberFormat="1" applyFont="1" applyFill="1" applyBorder="1" applyAlignment="1">
      <alignment horizontal="center" vertical="center"/>
    </xf>
    <xf numFmtId="168" fontId="11" fillId="4" borderId="63" xfId="2" applyNumberFormat="1" applyFont="1" applyFill="1" applyBorder="1" applyAlignment="1">
      <alignment horizontal="center" vertical="center"/>
    </xf>
    <xf numFmtId="166" fontId="6" fillId="3" borderId="64" xfId="2" applyNumberFormat="1" applyFont="1" applyFill="1" applyBorder="1" applyAlignment="1">
      <alignment horizontal="center" vertical="center"/>
    </xf>
    <xf numFmtId="166" fontId="8" fillId="3" borderId="115" xfId="2" applyNumberFormat="1" applyFont="1" applyFill="1" applyBorder="1" applyAlignment="1">
      <alignment horizontal="center" vertical="center"/>
    </xf>
    <xf numFmtId="166" fontId="8" fillId="3" borderId="179" xfId="2" applyNumberFormat="1" applyFont="1" applyFill="1" applyBorder="1" applyAlignment="1">
      <alignment horizontal="center" vertical="center"/>
    </xf>
    <xf numFmtId="166" fontId="8" fillId="3" borderId="68" xfId="2" applyNumberFormat="1" applyFont="1" applyFill="1" applyBorder="1" applyAlignment="1">
      <alignment horizontal="center" vertical="center"/>
    </xf>
    <xf numFmtId="166" fontId="8" fillId="3" borderId="110" xfId="2" applyNumberFormat="1" applyFont="1" applyFill="1" applyBorder="1" applyAlignment="1">
      <alignment horizontal="center" vertical="center"/>
    </xf>
    <xf numFmtId="166" fontId="8" fillId="3" borderId="66" xfId="2" applyNumberFormat="1" applyFont="1" applyFill="1" applyBorder="1" applyAlignment="1">
      <alignment horizontal="center" vertical="center"/>
    </xf>
    <xf numFmtId="0" fontId="11" fillId="12" borderId="74" xfId="0" applyFont="1" applyFill="1" applyBorder="1" applyAlignment="1">
      <alignment horizontal="center" vertical="center"/>
    </xf>
    <xf numFmtId="0" fontId="11" fillId="12" borderId="211" xfId="0" applyFont="1" applyFill="1" applyBorder="1" applyAlignment="1">
      <alignment horizontal="center" vertical="center"/>
    </xf>
    <xf numFmtId="0" fontId="11" fillId="12" borderId="75" xfId="0" applyFont="1" applyFill="1" applyBorder="1" applyAlignment="1">
      <alignment horizontal="center" vertical="center"/>
    </xf>
    <xf numFmtId="176" fontId="6" fillId="12" borderId="190" xfId="0" applyNumberFormat="1" applyFont="1" applyFill="1" applyBorder="1" applyAlignment="1">
      <alignment horizontal="center" vertical="center"/>
    </xf>
    <xf numFmtId="0" fontId="6" fillId="12" borderId="190" xfId="0" applyFont="1" applyFill="1" applyBorder="1" applyAlignment="1">
      <alignment horizontal="center" vertical="center"/>
    </xf>
    <xf numFmtId="0" fontId="24" fillId="10" borderId="191" xfId="0" applyFont="1" applyFill="1" applyBorder="1" applyAlignment="1">
      <alignment horizontal="center" vertical="center"/>
    </xf>
    <xf numFmtId="0" fontId="24" fillId="10" borderId="197" xfId="0" applyFont="1" applyFill="1" applyBorder="1" applyAlignment="1">
      <alignment horizontal="center" vertical="center"/>
    </xf>
    <xf numFmtId="0" fontId="6" fillId="10" borderId="191" xfId="0" applyFont="1" applyFill="1" applyBorder="1" applyAlignment="1">
      <alignment horizontal="center" vertical="center"/>
    </xf>
    <xf numFmtId="0" fontId="6" fillId="10" borderId="197" xfId="0" applyFont="1" applyFill="1" applyBorder="1" applyAlignment="1">
      <alignment horizontal="center" vertical="center"/>
    </xf>
    <xf numFmtId="0" fontId="11" fillId="11" borderId="74" xfId="0" applyFont="1" applyFill="1" applyBorder="1" applyAlignment="1">
      <alignment horizontal="center" vertical="center"/>
    </xf>
    <xf numFmtId="0" fontId="11" fillId="11" borderId="211" xfId="0" applyFont="1" applyFill="1" applyBorder="1" applyAlignment="1">
      <alignment horizontal="center" vertical="center"/>
    </xf>
    <xf numFmtId="0" fontId="11" fillId="11" borderId="75" xfId="0" applyFont="1" applyFill="1" applyBorder="1" applyAlignment="1">
      <alignment horizontal="center" vertical="center"/>
    </xf>
  </cellXfs>
  <cellStyles count="31">
    <cellStyle name="Hiperlink 2" xfId="28"/>
    <cellStyle name="leda" xfId="1"/>
    <cellStyle name="Moeda" xfId="30" builtinId="4"/>
    <cellStyle name="Moeda 2" xfId="6"/>
    <cellStyle name="Moeda 2 2" xfId="7"/>
    <cellStyle name="Moeda 3" xfId="11"/>
    <cellStyle name="Moeda 3 2" xfId="24"/>
    <cellStyle name="Moeda 4" xfId="12"/>
    <cellStyle name="Moeda 5" xfId="16"/>
    <cellStyle name="Moeda 6" xfId="27"/>
    <cellStyle name="Moeda 7" xfId="29"/>
    <cellStyle name="Normal" xfId="0" builtinId="0"/>
    <cellStyle name="Normal 2" xfId="3"/>
    <cellStyle name="Normal 2 2" xfId="4"/>
    <cellStyle name="Normal 2 2 2" xfId="20"/>
    <cellStyle name="Normal 2 3" xfId="15"/>
    <cellStyle name="Normal 2 4" xfId="19"/>
    <cellStyle name="Normal 3" xfId="18"/>
    <cellStyle name="Normal 3 2" xfId="26"/>
    <cellStyle name="Porcentagem" xfId="2" builtinId="5"/>
    <cellStyle name="Porcentagem 2" xfId="5"/>
    <cellStyle name="Porcentagem 3" xfId="13"/>
    <cellStyle name="Porcentagem 4" xfId="9"/>
    <cellStyle name="Porcentagem 4 2" xfId="22"/>
    <cellStyle name="Separador de milhares 2" xfId="10"/>
    <cellStyle name="Separador de milhares 2 2" xfId="23"/>
    <cellStyle name="Separador de milhares 3" xfId="14"/>
    <cellStyle name="Separador de milhares 3 2" xfId="25"/>
    <cellStyle name="Separador de milhares 4" xfId="8"/>
    <cellStyle name="Separador de milhares 4 2" xfId="21"/>
    <cellStyle name="Separador de milhares 5" xfId="17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F1F1F1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DFDA0"/>
      <color rgb="FFCCFF99"/>
      <color rgb="FF9999FF"/>
      <color rgb="FF66FF66"/>
      <color rgb="FFE1E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% Blocos</a:t>
            </a:r>
          </a:p>
        </c:rich>
      </c:tx>
      <c:layout>
        <c:manualLayout>
          <c:xMode val="edge"/>
          <c:yMode val="edge"/>
          <c:x val="5.0235127020169502E-2"/>
          <c:y val="4.8632218844984802E-2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9917010712842534E-2"/>
          <c:y val="5.0461990123574989E-2"/>
          <c:w val="0.98008298928715742"/>
          <c:h val="0.88778881363233852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>
                <a:noFill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tint val="50000"/>
                      <a:satMod val="300000"/>
                    </a:schemeClr>
                  </a:gs>
                  <a:gs pos="35000">
                    <a:schemeClr val="accent2">
                      <a:tint val="37000"/>
                      <a:satMod val="300000"/>
                    </a:schemeClr>
                  </a:gs>
                  <a:gs pos="100000">
                    <a:schemeClr val="accent2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>
                <a:noFill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tint val="50000"/>
                      <a:satMod val="300000"/>
                    </a:schemeClr>
                  </a:gs>
                  <a:gs pos="35000">
                    <a:schemeClr val="accent3">
                      <a:tint val="37000"/>
                      <a:satMod val="300000"/>
                    </a:schemeClr>
                  </a:gs>
                  <a:gs pos="100000">
                    <a:schemeClr val="accent3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>
                <a:noFill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sp3d/>
            </c:spPr>
          </c:dPt>
          <c:dLbls>
            <c:dLbl>
              <c:idx val="0"/>
              <c:layout>
                <c:manualLayout>
                  <c:x val="-0.13869700012330674"/>
                  <c:y val="7.566475757937817E-2"/>
                </c:manualLayout>
              </c:layout>
              <c:tx>
                <c:rich>
                  <a:bodyPr/>
                  <a:lstStyle/>
                  <a:p>
                    <a:fld id="{ED06BFDE-1913-4807-B710-D71FD2466C3C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EE4937F-39F8-4FD6-B453-6D85EA493010}" type="CATEGORYNAME">
                      <a:rPr lang="en-US" baseline="0"/>
                      <a:pPr/>
                      <a:t>[NOME DA CATEGORIA]</a:t>
                    </a:fld>
                    <a:r>
                      <a:rPr lang="en-US" baseline="0"/>
                      <a:t> </a:t>
                    </a:r>
                    <a:fld id="{ABF7CD61-880E-43A5-BE34-A0BB46CDE064}" type="VALUE">
                      <a:rPr lang="en-US" baseline="0"/>
                      <a:pPr/>
                      <a:t>[VALOR]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1"/>
              <c:layout>
                <c:manualLayout>
                  <c:x val="-0.19351785305360319"/>
                  <c:y val="-0.17466805423683759"/>
                </c:manualLayout>
              </c:layout>
              <c:tx>
                <c:rich>
                  <a:bodyPr/>
                  <a:lstStyle/>
                  <a:p>
                    <a:fld id="{0AF2CE83-8894-449D-93A3-3CC88F581CBC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9A8FAC2-2C59-4312-92AD-3CD319BA85C8}" type="CATEGORYNAME">
                      <a:rPr lang="en-US" baseline="0"/>
                      <a:pPr/>
                      <a:t>[NOME DA CATEGORIA]</a:t>
                    </a:fld>
                    <a:r>
                      <a:rPr lang="en-US" baseline="0"/>
                      <a:t> </a:t>
                    </a:r>
                    <a:fld id="{6AEA2FD3-A814-4F89-978B-3C21F5F803D8}" type="VALUE">
                      <a:rPr lang="en-US" baseline="0"/>
                      <a:pPr/>
                      <a:t>[VALOR]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2"/>
              <c:layout>
                <c:manualLayout>
                  <c:x val="0.24176489110204497"/>
                  <c:y val="-0.13043358941834399"/>
                </c:manualLayout>
              </c:layout>
              <c:tx>
                <c:rich>
                  <a:bodyPr/>
                  <a:lstStyle/>
                  <a:p>
                    <a:fld id="{8F0CE27A-1EBA-4692-B013-2EA44F340924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3C8004F-638F-4AF1-BE45-599E77D26603}" type="CATEGORYNAME">
                      <a:rPr lang="en-US" baseline="0"/>
                      <a:pPr/>
                      <a:t>[NOME DA CATEGORIA]</a:t>
                    </a:fld>
                    <a:r>
                      <a:rPr lang="en-US" baseline="0"/>
                      <a:t> </a:t>
                    </a:r>
                    <a:fld id="{04964B3C-7DA2-4251-9315-09194F469B10}" type="VALUE">
                      <a:rPr lang="en-US" baseline="0"/>
                      <a:pPr/>
                      <a:t>[VALOR]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strRef>
              <c:f>'Crono Inicial'!$E$37:$G$37</c:f>
              <c:strCache>
                <c:ptCount val="3"/>
                <c:pt idx="0">
                  <c:v>Auditorio</c:v>
                </c:pt>
                <c:pt idx="1">
                  <c:v>Didatico</c:v>
                </c:pt>
                <c:pt idx="2">
                  <c:v>Clinicas</c:v>
                </c:pt>
              </c:strCache>
            </c:strRef>
          </c:cat>
          <c:val>
            <c:numRef>
              <c:f>'Crono Inicial'!$E$38:$G$38</c:f>
              <c:numCache>
                <c:formatCode>0.0%</c:formatCode>
                <c:ptCount val="3"/>
                <c:pt idx="0">
                  <c:v>0.14445056568221196</c:v>
                </c:pt>
                <c:pt idx="1">
                  <c:v>0.29570368950952919</c:v>
                </c:pt>
                <c:pt idx="2">
                  <c:v>0.55984574480825899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[4]Plan1!$E$39:$G$39</c15:f>
                <c15:dlblRangeCache>
                  <c:ptCount val="3"/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</c15:dlblRangeCache>
              </c15:datalabelsRange>
            </c:ext>
          </c:extLst>
        </c:ser>
        <c:ser>
          <c:idx val="1"/>
          <c:order val="1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>
                <a:noFill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tint val="50000"/>
                      <a:satMod val="300000"/>
                    </a:schemeClr>
                  </a:gs>
                  <a:gs pos="35000">
                    <a:schemeClr val="accent2">
                      <a:tint val="37000"/>
                      <a:satMod val="300000"/>
                    </a:schemeClr>
                  </a:gs>
                  <a:gs pos="100000">
                    <a:schemeClr val="accent2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>
                <a:noFill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tint val="50000"/>
                      <a:satMod val="300000"/>
                    </a:schemeClr>
                  </a:gs>
                  <a:gs pos="35000">
                    <a:schemeClr val="accent3">
                      <a:tint val="37000"/>
                      <a:satMod val="300000"/>
                    </a:schemeClr>
                  </a:gs>
                  <a:gs pos="100000">
                    <a:schemeClr val="accent3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>
                <a:noFill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sp3d/>
            </c:spPr>
          </c:dPt>
          <c:cat>
            <c:strRef>
              <c:f>'Crono Inicial'!$E$37:$G$37</c:f>
              <c:strCache>
                <c:ptCount val="3"/>
                <c:pt idx="0">
                  <c:v>Auditorio</c:v>
                </c:pt>
                <c:pt idx="1">
                  <c:v>Didatico</c:v>
                </c:pt>
                <c:pt idx="2">
                  <c:v>Clinicas</c:v>
                </c:pt>
              </c:strCache>
            </c:strRef>
          </c:cat>
          <c:val>
            <c:numRef>
              <c:f>'Crono Inicial'!$E$39:$G$39</c:f>
              <c:numCache>
                <c:formatCode>"R$"\ #,##0</c:formatCode>
                <c:ptCount val="3"/>
                <c:pt idx="0">
                  <c:v>1011153.9597754837</c:v>
                </c:pt>
                <c:pt idx="1">
                  <c:v>2069925.8265667043</c:v>
                </c:pt>
                <c:pt idx="2">
                  <c:v>3918920.2136578131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216755623667857"/>
          <c:y val="0.86151022489095341"/>
          <c:w val="0.3268058271239585"/>
          <c:h val="0.109712796691780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6.9407886594756538E-2"/>
          <c:y val="4.9899042897958275E-2"/>
          <c:w val="0.92396026446769175"/>
          <c:h val="0.84713287050995412"/>
        </c:manualLayout>
      </c:layout>
      <c:lineChart>
        <c:grouping val="standard"/>
        <c:varyColors val="0"/>
        <c:ser>
          <c:idx val="0"/>
          <c:order val="0"/>
          <c:spPr>
            <a:ln w="28575" cap="sq">
              <a:solidFill>
                <a:schemeClr val="tx2"/>
              </a:solidFill>
              <a:round/>
            </a:ln>
            <a:effectLst>
              <a:outerShdw blurRad="50800" dist="50800" dir="5400000" sx="6000" sy="6000" algn="ctr" rotWithShape="0">
                <a:srgbClr val="000000">
                  <a:alpha val="49000"/>
                </a:srgbClr>
              </a:outerShdw>
            </a:effectLst>
          </c:spPr>
          <c:marker>
            <c:symbol val="none"/>
          </c:marker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5400000" spcFirstLastPara="1" vertOverflow="overflow" horzOverflow="overflow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'Crono Inicial'!$E$32:$V$32</c:f>
              <c:numCache>
                <c:formatCode>0.00%</c:formatCode>
                <c:ptCount val="18"/>
                <c:pt idx="0">
                  <c:v>3.7778073194035255E-2</c:v>
                </c:pt>
                <c:pt idx="1">
                  <c:v>8.1551108343247081E-2</c:v>
                </c:pt>
                <c:pt idx="2">
                  <c:v>0.12591555087147796</c:v>
                </c:pt>
                <c:pt idx="3">
                  <c:v>0.16695332689272663</c:v>
                </c:pt>
                <c:pt idx="4">
                  <c:v>0.20355554757133237</c:v>
                </c:pt>
                <c:pt idx="5">
                  <c:v>0.25420369350164074</c:v>
                </c:pt>
                <c:pt idx="6">
                  <c:v>0.34411702742048378</c:v>
                </c:pt>
                <c:pt idx="7">
                  <c:v>0.36423715271955948</c:v>
                </c:pt>
                <c:pt idx="8">
                  <c:v>0.40591133919375316</c:v>
                </c:pt>
                <c:pt idx="9">
                  <c:v>0.44814537141275507</c:v>
                </c:pt>
                <c:pt idx="10">
                  <c:v>0.49877708980388086</c:v>
                </c:pt>
                <c:pt idx="11">
                  <c:v>0.56262643416608782</c:v>
                </c:pt>
                <c:pt idx="12">
                  <c:v>0.63030780843719481</c:v>
                </c:pt>
                <c:pt idx="13">
                  <c:v>0.69554170292834694</c:v>
                </c:pt>
                <c:pt idx="14">
                  <c:v>0.74298862447803149</c:v>
                </c:pt>
                <c:pt idx="15">
                  <c:v>0.82881138204241767</c:v>
                </c:pt>
                <c:pt idx="16">
                  <c:v>0.91546662461642481</c:v>
                </c:pt>
                <c:pt idx="17">
                  <c:v>1.0000000000000002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0215368"/>
        <c:axId val="490215760"/>
      </c:lineChart>
      <c:catAx>
        <c:axId val="490215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endParaRPr lang="pt-BR"/>
          </a:p>
        </c:txPr>
        <c:crossAx val="490215760"/>
        <c:crosses val="autoZero"/>
        <c:auto val="1"/>
        <c:lblAlgn val="ctr"/>
        <c:lblOffset val="100"/>
        <c:noMultiLvlLbl val="0"/>
      </c:catAx>
      <c:valAx>
        <c:axId val="490215760"/>
        <c:scaling>
          <c:orientation val="minMax"/>
          <c:max val="1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prstDash val="dashDot"/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0215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% Blocos</a:t>
            </a:r>
          </a:p>
        </c:rich>
      </c:tx>
      <c:layout>
        <c:manualLayout>
          <c:xMode val="edge"/>
          <c:yMode val="edge"/>
          <c:x val="5.0235127020169502E-2"/>
          <c:y val="4.8632218844984802E-2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9917032183057654E-2"/>
          <c:y val="3.6073566343775371E-2"/>
          <c:w val="0.98008298928715742"/>
          <c:h val="0.88778881363233852"/>
        </c:manualLayout>
      </c:layout>
      <c:pie3DChart>
        <c:varyColors val="1"/>
        <c:ser>
          <c:idx val="0"/>
          <c:order val="0"/>
          <c:tx>
            <c:strRef>
              <c:f>'Crono Inicial (2)'!$E$38:$G$38</c:f>
              <c:strCache>
                <c:ptCount val="3"/>
                <c:pt idx="0">
                  <c:v>13,0%</c:v>
                </c:pt>
                <c:pt idx="1">
                  <c:v>27,0%</c:v>
                </c:pt>
                <c:pt idx="2">
                  <c:v>60,0%</c:v>
                </c:pt>
              </c:strCache>
            </c:strRef>
          </c:tx>
          <c:dPt>
            <c:idx val="2"/>
            <c:bubble3D val="0"/>
            <c:explosion val="1"/>
          </c:dPt>
          <c:dLbls>
            <c:dLbl>
              <c:idx val="0"/>
              <c:layout>
                <c:manualLayout>
                  <c:x val="-0.13361323962021526"/>
                  <c:y val="3.956834532374100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21416107382550337"/>
                  <c:y val="-0.1546290526633811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25817875953425284"/>
                  <c:y val="-0.1433131290243396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800"/>
                </a:pPr>
                <a:endParaRPr lang="pt-BR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'Crono Inicial (2)'!$E$38:$G$38</c:f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'Crono Inicial (2)'!$E$37:$G$37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216755623667857"/>
          <c:y val="0.86151022489095341"/>
          <c:w val="0.3268058271239585"/>
          <c:h val="8.09358182745142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6.9407886594756538E-2"/>
          <c:y val="4.9899042897958275E-2"/>
          <c:w val="0.92396026446769175"/>
          <c:h val="0.84713287050995412"/>
        </c:manualLayout>
      </c:layout>
      <c:lineChart>
        <c:grouping val="standard"/>
        <c:varyColors val="0"/>
        <c:ser>
          <c:idx val="0"/>
          <c:order val="0"/>
          <c:spPr>
            <a:ln w="28575" cap="sq">
              <a:solidFill>
                <a:schemeClr val="tx2"/>
              </a:solidFill>
              <a:round/>
            </a:ln>
            <a:effectLst>
              <a:outerShdw blurRad="50800" dist="50800" dir="5400000" sx="6000" sy="6000" algn="ctr" rotWithShape="0">
                <a:srgbClr val="000000">
                  <a:alpha val="49000"/>
                </a:srgbClr>
              </a:outerShdw>
            </a:effectLst>
          </c:spPr>
          <c:marker>
            <c:symbol val="none"/>
          </c:marker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5400000" spcFirstLastPara="1" vertOverflow="overflow" horzOverflow="overflow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'Crono Inicial (2)'!$E$32:$V$32</c:f>
              <c:numCache>
                <c:formatCode>0.00%</c:formatCode>
                <c:ptCount val="18"/>
                <c:pt idx="0">
                  <c:v>2.3394136718320697E-2</c:v>
                </c:pt>
                <c:pt idx="1">
                  <c:v>6.3370494010330819E-2</c:v>
                </c:pt>
                <c:pt idx="2">
                  <c:v>0.10178453676228158</c:v>
                </c:pt>
                <c:pt idx="3">
                  <c:v>0.17514201423233325</c:v>
                </c:pt>
                <c:pt idx="4">
                  <c:v>0.22284481811188045</c:v>
                </c:pt>
                <c:pt idx="5">
                  <c:v>0.24591112347510719</c:v>
                </c:pt>
                <c:pt idx="6">
                  <c:v>0.30647557423892741</c:v>
                </c:pt>
                <c:pt idx="7">
                  <c:v>0.33496936476535888</c:v>
                </c:pt>
                <c:pt idx="8">
                  <c:v>0.37888229475766572</c:v>
                </c:pt>
                <c:pt idx="9">
                  <c:v>0.42105931970546218</c:v>
                </c:pt>
                <c:pt idx="10">
                  <c:v>0.49802862951972748</c:v>
                </c:pt>
                <c:pt idx="11">
                  <c:v>0.60127983844378508</c:v>
                </c:pt>
                <c:pt idx="12">
                  <c:v>0.71043225903945495</c:v>
                </c:pt>
                <c:pt idx="13">
                  <c:v>0.7889452137597539</c:v>
                </c:pt>
                <c:pt idx="14">
                  <c:v>0.84448771843059689</c:v>
                </c:pt>
                <c:pt idx="15">
                  <c:v>0.90572322507967917</c:v>
                </c:pt>
                <c:pt idx="16">
                  <c:v>0.95041075942411268</c:v>
                </c:pt>
                <c:pt idx="17">
                  <c:v>1.0000000000000002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0216544"/>
        <c:axId val="490216936"/>
      </c:lineChart>
      <c:catAx>
        <c:axId val="49021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endParaRPr lang="pt-BR"/>
          </a:p>
        </c:txPr>
        <c:crossAx val="490216936"/>
        <c:crosses val="autoZero"/>
        <c:auto val="1"/>
        <c:lblAlgn val="ctr"/>
        <c:lblOffset val="100"/>
        <c:noMultiLvlLbl val="0"/>
      </c:catAx>
      <c:valAx>
        <c:axId val="490216936"/>
        <c:scaling>
          <c:orientation val="minMax"/>
          <c:max val="1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prstDash val="dashDot"/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0216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400050</xdr:colOff>
      <xdr:row>35</xdr:row>
      <xdr:rowOff>76200</xdr:rowOff>
    </xdr:from>
    <xdr:to>
      <xdr:col>18</xdr:col>
      <xdr:colOff>257175</xdr:colOff>
      <xdr:row>40</xdr:row>
      <xdr:rowOff>9525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592930</xdr:colOff>
      <xdr:row>40</xdr:row>
      <xdr:rowOff>114300</xdr:rowOff>
    </xdr:from>
    <xdr:to>
      <xdr:col>22</xdr:col>
      <xdr:colOff>11905</xdr:colOff>
      <xdr:row>59</xdr:row>
      <xdr:rowOff>142874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400050</xdr:colOff>
      <xdr:row>35</xdr:row>
      <xdr:rowOff>76200</xdr:rowOff>
    </xdr:from>
    <xdr:to>
      <xdr:col>18</xdr:col>
      <xdr:colOff>257175</xdr:colOff>
      <xdr:row>40</xdr:row>
      <xdr:rowOff>9525</xdr:rowOff>
    </xdr:to>
    <xdr:graphicFrame macro="">
      <xdr:nvGraphicFramePr>
        <xdr:cNvPr id="2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592930</xdr:colOff>
      <xdr:row>40</xdr:row>
      <xdr:rowOff>114300</xdr:rowOff>
    </xdr:from>
    <xdr:to>
      <xdr:col>22</xdr:col>
      <xdr:colOff>11905</xdr:colOff>
      <xdr:row>59</xdr:row>
      <xdr:rowOff>142874</xdr:rowOff>
    </xdr:to>
    <xdr:graphicFrame macro="">
      <xdr:nvGraphicFramePr>
        <xdr:cNvPr id="3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uricio\obras%20ln\OBRAS-LN\&#201;PICO\07-PLANEJAMENTO\Epico-CustosGb-20-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uricio\obras%20ln\Documents%20and%20Settings\All%20Users\Documentos\Diogo-LN-Compartilhado\&#201;pico\Materiais%20Epico_leonardo22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-Gerencial%20Swell%20&amp;%20CP/02-Manchester/or&#231;+GB+ma..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Instal"/>
      <sheetName val="MATMO"/>
      <sheetName val="FisBar"/>
      <sheetName val="Passo"/>
      <sheetName val="Esq"/>
      <sheetName val="ConcAçoForm"/>
      <sheetName val="P.VENDAS"/>
      <sheetName val="Fachada"/>
      <sheetName val="CODIGO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ços"/>
      <sheetName val="Etapas Spry"/>
      <sheetName val="Cobertura"/>
      <sheetName val="Canteiro"/>
      <sheetName val="Serralheria"/>
      <sheetName val="HidroSanitário"/>
      <sheetName val="Incendio"/>
      <sheetName val="Equipamentos"/>
      <sheetName val="Agua Quente"/>
      <sheetName val="Agua Fria"/>
      <sheetName val="Esgoto"/>
      <sheetName val="Agua Pluvial"/>
      <sheetName val="Resumo_HidSant"/>
    </sheetNames>
    <sheetDataSet>
      <sheetData sheetId="0"/>
      <sheetData sheetId="1"/>
      <sheetData sheetId="2"/>
      <sheetData sheetId="3"/>
      <sheetData sheetId="4"/>
      <sheetData sheetId="5" refreshError="1">
        <row r="3">
          <cell r="B3" t="str">
            <v>Descrição</v>
          </cell>
          <cell r="C3" t="str">
            <v>Quant.</v>
          </cell>
        </row>
        <row r="4">
          <cell r="B4" t="str">
            <v>- Água Pluvial</v>
          </cell>
        </row>
        <row r="5">
          <cell r="B5" t="str">
            <v>Tubo de PVC - Ø 100mm</v>
          </cell>
          <cell r="C5">
            <v>48</v>
          </cell>
        </row>
        <row r="6">
          <cell r="B6" t="str">
            <v>Tubo de PVC - Ø 75mm</v>
          </cell>
          <cell r="C6">
            <v>22</v>
          </cell>
        </row>
        <row r="7">
          <cell r="B7" t="str">
            <v>Joelho de PVC 90º - Ø 100mm</v>
          </cell>
          <cell r="C7">
            <v>2</v>
          </cell>
        </row>
        <row r="8">
          <cell r="B8" t="str">
            <v>Joelho de PVC 90º - Ø 75mm</v>
          </cell>
          <cell r="C8">
            <v>3</v>
          </cell>
        </row>
        <row r="9">
          <cell r="B9" t="str">
            <v>Luva de PVC - Ø 100mm</v>
          </cell>
          <cell r="C9">
            <v>2</v>
          </cell>
        </row>
        <row r="10">
          <cell r="B10" t="str">
            <v>Luva de PVC - Ø 75mm</v>
          </cell>
          <cell r="C10">
            <v>1</v>
          </cell>
        </row>
        <row r="11">
          <cell r="B11" t="str">
            <v>Caixa Sifonada de PVC - Ø 150 x 185 x 75cm</v>
          </cell>
          <cell r="C11">
            <v>2</v>
          </cell>
        </row>
        <row r="12">
          <cell r="B12" t="str">
            <v>Anel de Borracha - Ø 100mm</v>
          </cell>
          <cell r="C12">
            <v>4</v>
          </cell>
        </row>
        <row r="13">
          <cell r="B13" t="str">
            <v>Anel de Borracha - Ø 75mm</v>
          </cell>
          <cell r="C13">
            <v>4</v>
          </cell>
        </row>
        <row r="14">
          <cell r="B14" t="str">
            <v>Lixa</v>
          </cell>
          <cell r="C14">
            <v>1</v>
          </cell>
        </row>
        <row r="15">
          <cell r="B15" t="str">
            <v>Pasta Lubrificante - frasco c/ 400g</v>
          </cell>
          <cell r="C15">
            <v>1</v>
          </cell>
        </row>
        <row r="16">
          <cell r="B16" t="str">
            <v>Adesivo Plastico - frasco c/ 175g</v>
          </cell>
          <cell r="C16">
            <v>1</v>
          </cell>
        </row>
        <row r="17">
          <cell r="B17" t="str">
            <v>Caixa de Passagem de 50 x 50cm, com tampa e Grelha em FºFº</v>
          </cell>
          <cell r="C17">
            <v>4</v>
          </cell>
        </row>
        <row r="18">
          <cell r="B18" t="str">
            <v>Poço elevátório de Ø 60cm</v>
          </cell>
          <cell r="C18">
            <v>1</v>
          </cell>
        </row>
        <row r="21">
          <cell r="B21" t="str">
            <v>- Água Fria</v>
          </cell>
        </row>
        <row r="22">
          <cell r="B22" t="str">
            <v>Tubo de PVC - Ø 25mm</v>
          </cell>
          <cell r="C22">
            <v>85.5</v>
          </cell>
        </row>
        <row r="23">
          <cell r="B23" t="str">
            <v>Tubo de PVC - Ø 32mm</v>
          </cell>
          <cell r="C23">
            <v>6</v>
          </cell>
        </row>
        <row r="24">
          <cell r="B24" t="str">
            <v>Joelho de PVC 90º - Ø 25mm</v>
          </cell>
          <cell r="C24">
            <v>18</v>
          </cell>
        </row>
        <row r="25">
          <cell r="B25" t="str">
            <v>Joelho de PVC 90º - Ø 32mm</v>
          </cell>
          <cell r="C25">
            <v>9</v>
          </cell>
        </row>
        <row r="26">
          <cell r="B26" t="str">
            <v>Joelho de PVC 90º - Ø 25mm x 3/4"</v>
          </cell>
          <cell r="C26">
            <v>5</v>
          </cell>
        </row>
        <row r="27">
          <cell r="B27" t="str">
            <v>Te de PVC - Ø 25mm</v>
          </cell>
          <cell r="C27">
            <v>7</v>
          </cell>
        </row>
        <row r="28">
          <cell r="B28" t="str">
            <v>Te de PVC - Ø 32mm</v>
          </cell>
          <cell r="C28">
            <v>4</v>
          </cell>
        </row>
        <row r="29">
          <cell r="B29" t="str">
            <v>Adaptador p/ registro de Ø 25mm x 3/4"</v>
          </cell>
          <cell r="C29">
            <v>8</v>
          </cell>
        </row>
        <row r="30">
          <cell r="B30" t="str">
            <v>Adaptador p/ registro de Ø 32mm x 1"</v>
          </cell>
          <cell r="C30">
            <v>2</v>
          </cell>
        </row>
        <row r="31">
          <cell r="B31" t="str">
            <v>Flange de PVC, p/ caixa d'água, Ø 3/4"</v>
          </cell>
          <cell r="C31">
            <v>2</v>
          </cell>
        </row>
        <row r="32">
          <cell r="B32" t="str">
            <v>Flange de PVC, p/ caixa d'água, Ø 1"</v>
          </cell>
          <cell r="C32">
            <v>1</v>
          </cell>
        </row>
        <row r="33">
          <cell r="B33" t="str">
            <v>Registro de Gaveta Ø 3/4"</v>
          </cell>
          <cell r="C33">
            <v>3</v>
          </cell>
        </row>
        <row r="34">
          <cell r="B34" t="str">
            <v>Registro de Gaveta Ø 1"</v>
          </cell>
          <cell r="C34">
            <v>1</v>
          </cell>
        </row>
        <row r="35">
          <cell r="B35" t="str">
            <v>Valvula de Retenção Horizontal Ø 3/4"</v>
          </cell>
          <cell r="C35">
            <v>1</v>
          </cell>
        </row>
        <row r="36">
          <cell r="B36" t="str">
            <v>Torneira de Jardim Ø 3/4"</v>
          </cell>
          <cell r="C36">
            <v>4</v>
          </cell>
        </row>
        <row r="37">
          <cell r="B37" t="str">
            <v>Lixa</v>
          </cell>
          <cell r="C37">
            <v>9</v>
          </cell>
        </row>
        <row r="38">
          <cell r="B38" t="str">
            <v>Adesivo Plastico - frasco c/ 175g</v>
          </cell>
          <cell r="C38">
            <v>5</v>
          </cell>
        </row>
        <row r="41">
          <cell r="B41" t="str">
            <v>- Equipamentos</v>
          </cell>
        </row>
        <row r="42">
          <cell r="B42" t="str">
            <v>Valvula de Pé e Crivo de 1"</v>
          </cell>
          <cell r="C42">
            <v>1</v>
          </cell>
        </row>
        <row r="43">
          <cell r="B43" t="str">
            <v>Torneira Boia de 3/4"</v>
          </cell>
          <cell r="C43">
            <v>1</v>
          </cell>
        </row>
        <row r="44">
          <cell r="B44" t="str">
            <v>Automatíco de Minimo</v>
          </cell>
          <cell r="C44">
            <v>2</v>
          </cell>
        </row>
        <row r="45">
          <cell r="B45" t="str">
            <v>Motobomba Centrifuga Submersivel p/ agua servidas Scheneider, Mod.: BCS-205, Pot.: 1,0 CV, com motor Trifásico, recalque de Ø 2", Hman= 10,0 m.c.a., vazão= 17,00m³/h.</v>
          </cell>
          <cell r="C45">
            <v>2</v>
          </cell>
        </row>
        <row r="46">
          <cell r="B46" t="str">
            <v>Motobomba Centrifuga Multiestágios Scheneider, Mod.: ME 1420, Pot.: 2,0 CV, com motor Trifásico, Sucção 1", Recalque de Ø 3/4", Hman= 55,0 m.c.a., vazão= 4,00m³/h.</v>
          </cell>
          <cell r="C46">
            <v>2</v>
          </cell>
        </row>
        <row r="49">
          <cell r="B49" t="str">
            <v>- Drenagem</v>
          </cell>
        </row>
        <row r="50">
          <cell r="B50" t="str">
            <v>Magueira Corrugado de PVC Flexivel de 4", p/ dreno</v>
          </cell>
          <cell r="C50">
            <v>131</v>
          </cell>
        </row>
        <row r="51">
          <cell r="B51" t="str">
            <v>Manta Geotextil</v>
          </cell>
          <cell r="C51">
            <v>200</v>
          </cell>
        </row>
        <row r="59">
          <cell r="B59" t="str">
            <v>Descrição</v>
          </cell>
          <cell r="C59" t="str">
            <v>Quant.</v>
          </cell>
        </row>
        <row r="60">
          <cell r="B60" t="str">
            <v>- Esgoto</v>
          </cell>
        </row>
        <row r="61">
          <cell r="B61" t="str">
            <v>Tubo de PVC - Ø 150mm</v>
          </cell>
          <cell r="C61">
            <v>51.6</v>
          </cell>
        </row>
        <row r="62">
          <cell r="B62" t="str">
            <v>Tubo de PVC - Ø 100mm</v>
          </cell>
          <cell r="C62">
            <v>172.5</v>
          </cell>
        </row>
        <row r="63">
          <cell r="B63" t="str">
            <v>Tubo de PVC - Ø 75mm</v>
          </cell>
          <cell r="C63">
            <v>18.5</v>
          </cell>
        </row>
        <row r="64">
          <cell r="B64" t="str">
            <v>Tubo de PVC - Ø 50mm</v>
          </cell>
          <cell r="C64">
            <v>14.7</v>
          </cell>
        </row>
        <row r="65">
          <cell r="B65" t="str">
            <v>Tubo de PVC - Ø 40mm</v>
          </cell>
          <cell r="C65">
            <v>6.5</v>
          </cell>
        </row>
        <row r="66">
          <cell r="B66" t="str">
            <v>Joelho de PVC 90º - Ø 150mm</v>
          </cell>
          <cell r="C66">
            <v>4</v>
          </cell>
        </row>
        <row r="67">
          <cell r="B67" t="str">
            <v>Joelho de PVC 90º - Ø 100mm</v>
          </cell>
          <cell r="C67">
            <v>28</v>
          </cell>
        </row>
        <row r="68">
          <cell r="B68" t="str">
            <v>Joelho de PVC 90º - Ø 75mm</v>
          </cell>
          <cell r="C68">
            <v>15</v>
          </cell>
        </row>
        <row r="69">
          <cell r="B69" t="str">
            <v>Joelho de PVC 90º - Ø 50mm</v>
          </cell>
          <cell r="C69">
            <v>10</v>
          </cell>
        </row>
        <row r="70">
          <cell r="B70" t="str">
            <v>Joelho de PVC 90º - Ø 40mm</v>
          </cell>
          <cell r="C70">
            <v>10</v>
          </cell>
        </row>
        <row r="71">
          <cell r="B71" t="str">
            <v>Joelho de PVC 45º - Ø 150mm</v>
          </cell>
          <cell r="C71">
            <v>6</v>
          </cell>
        </row>
        <row r="72">
          <cell r="B72" t="str">
            <v>Joelho de PVC 45º - Ø 100mm</v>
          </cell>
          <cell r="C72">
            <v>24</v>
          </cell>
        </row>
        <row r="73">
          <cell r="B73" t="str">
            <v>Joelho de PVC 45º - Ø 75mm</v>
          </cell>
          <cell r="C73">
            <v>8</v>
          </cell>
        </row>
        <row r="74">
          <cell r="B74" t="str">
            <v>Joelho de PVC 45º - Ø 50mm</v>
          </cell>
          <cell r="C74">
            <v>7</v>
          </cell>
        </row>
        <row r="75">
          <cell r="B75" t="str">
            <v>Joelho de PVC 45º - Ø 40mm</v>
          </cell>
          <cell r="C75">
            <v>12</v>
          </cell>
        </row>
        <row r="76">
          <cell r="B76" t="str">
            <v>Junção de PVC - Ø 150mm</v>
          </cell>
          <cell r="C76">
            <v>2</v>
          </cell>
        </row>
        <row r="77">
          <cell r="B77" t="str">
            <v>Junção de PVC - Ø 150mm x 100mm</v>
          </cell>
          <cell r="C77">
            <v>7</v>
          </cell>
        </row>
        <row r="78">
          <cell r="B78" t="str">
            <v>Junção de PVC - Ø 100mm</v>
          </cell>
          <cell r="C78">
            <v>9</v>
          </cell>
        </row>
        <row r="79">
          <cell r="B79" t="str">
            <v>Junção de PVC - Ø 100mm x 75mm</v>
          </cell>
          <cell r="C79">
            <v>6</v>
          </cell>
        </row>
        <row r="80">
          <cell r="B80" t="str">
            <v>Junção de PVC - Ø 100mm x 50mm</v>
          </cell>
          <cell r="C80">
            <v>7</v>
          </cell>
        </row>
        <row r="81">
          <cell r="B81" t="str">
            <v>Junção de PVC - Ø 75mm</v>
          </cell>
          <cell r="C81">
            <v>3</v>
          </cell>
        </row>
        <row r="82">
          <cell r="B82" t="str">
            <v>Junção de PVC - Ø 50mm</v>
          </cell>
          <cell r="C82">
            <v>11</v>
          </cell>
        </row>
        <row r="83">
          <cell r="B83" t="str">
            <v>Bucha de Redução de PVC - Ø 150mm x 100mm</v>
          </cell>
          <cell r="C83">
            <v>2</v>
          </cell>
        </row>
        <row r="84">
          <cell r="B84" t="str">
            <v>Bucha de Redução de PVC - Ø 100mm x 75mm</v>
          </cell>
          <cell r="C84">
            <v>6</v>
          </cell>
        </row>
        <row r="85">
          <cell r="B85" t="str">
            <v>Bucha de Redução de PVC - Ø 150mm x 50mm</v>
          </cell>
          <cell r="C85">
            <v>2</v>
          </cell>
        </row>
        <row r="86">
          <cell r="B86" t="str">
            <v>Bucha de Redução de PVC - Ø 75mm x 50mm</v>
          </cell>
          <cell r="C86">
            <v>3</v>
          </cell>
        </row>
        <row r="87">
          <cell r="B87" t="str">
            <v>Luva de PVC - Ø 150mm</v>
          </cell>
          <cell r="C87">
            <v>2</v>
          </cell>
        </row>
        <row r="88">
          <cell r="B88" t="str">
            <v>Luva de PVC - Ø 100mm</v>
          </cell>
          <cell r="C88">
            <v>6</v>
          </cell>
        </row>
        <row r="89">
          <cell r="B89" t="str">
            <v>Luva de PVC - Ø 75mm</v>
          </cell>
          <cell r="C89">
            <v>1</v>
          </cell>
        </row>
        <row r="90">
          <cell r="B90" t="str">
            <v>Luva de PVC - Ø 50mm</v>
          </cell>
          <cell r="C90">
            <v>1</v>
          </cell>
        </row>
        <row r="91">
          <cell r="B91" t="str">
            <v>Caixa Sifonada de PVC - Ø 100 x 100 x 50cm</v>
          </cell>
          <cell r="C91">
            <v>4</v>
          </cell>
        </row>
        <row r="92">
          <cell r="B92" t="str">
            <v>Anel de Borracha - Ø 150mm</v>
          </cell>
          <cell r="C92">
            <v>25</v>
          </cell>
        </row>
        <row r="93">
          <cell r="B93" t="str">
            <v>Anel de Borracha - Ø 100mm</v>
          </cell>
          <cell r="C93">
            <v>102</v>
          </cell>
        </row>
        <row r="94">
          <cell r="B94" t="str">
            <v>Anel de Borracha - Ø 75mm</v>
          </cell>
          <cell r="C94">
            <v>45</v>
          </cell>
        </row>
        <row r="95">
          <cell r="B95" t="str">
            <v>Anel de Borracha - Ø 50mm</v>
          </cell>
          <cell r="C95">
            <v>50</v>
          </cell>
        </row>
        <row r="96">
          <cell r="B96" t="str">
            <v>Lixa</v>
          </cell>
          <cell r="C96">
            <v>23</v>
          </cell>
        </row>
        <row r="97">
          <cell r="B97" t="str">
            <v>Pasta Lubrificante - frasco c/ 400g</v>
          </cell>
          <cell r="C97">
            <v>2</v>
          </cell>
        </row>
        <row r="98">
          <cell r="B98" t="str">
            <v>Adesivo Plastico - frasco c/ 175g</v>
          </cell>
          <cell r="C98">
            <v>12</v>
          </cell>
        </row>
        <row r="101">
          <cell r="B101" t="str">
            <v>- Água Pluvial</v>
          </cell>
        </row>
        <row r="102">
          <cell r="B102" t="str">
            <v>Tubo de PVC - Ø 150mm</v>
          </cell>
          <cell r="C102">
            <v>76.3</v>
          </cell>
        </row>
        <row r="103">
          <cell r="B103" t="str">
            <v>Tubo de PVC - Ø 100mm</v>
          </cell>
          <cell r="C103">
            <v>88.2</v>
          </cell>
        </row>
        <row r="104">
          <cell r="B104" t="str">
            <v>Joelho de PVC 90º - Ø 150mm</v>
          </cell>
          <cell r="C104">
            <v>6</v>
          </cell>
        </row>
        <row r="105">
          <cell r="B105" t="str">
            <v>Joelho de PVC 90º - Ø 100mm</v>
          </cell>
          <cell r="C105">
            <v>32</v>
          </cell>
        </row>
        <row r="106">
          <cell r="B106" t="str">
            <v>Joelho de PVC 45º - Ø 150mm</v>
          </cell>
          <cell r="C106">
            <v>5</v>
          </cell>
        </row>
        <row r="107">
          <cell r="B107" t="str">
            <v>Joelho de PVC 45º - Ø 100mm</v>
          </cell>
          <cell r="C107">
            <v>16</v>
          </cell>
        </row>
        <row r="108">
          <cell r="B108" t="str">
            <v>Junção de PVC - Ø 150mm</v>
          </cell>
          <cell r="C108">
            <v>2</v>
          </cell>
        </row>
        <row r="109">
          <cell r="B109" t="str">
            <v>Junção de PVC - Ø 150mm x 100mm</v>
          </cell>
          <cell r="C109">
            <v>10</v>
          </cell>
        </row>
        <row r="110">
          <cell r="B110" t="str">
            <v>Junção de PVC - Ø 100mm</v>
          </cell>
          <cell r="C110">
            <v>8</v>
          </cell>
        </row>
        <row r="111">
          <cell r="B111" t="str">
            <v>Bucha de Redução de PVC - Ø 150mm x 100mm</v>
          </cell>
          <cell r="C111">
            <v>3</v>
          </cell>
        </row>
        <row r="112">
          <cell r="B112" t="str">
            <v>Luva de PVC - Ø 150mm</v>
          </cell>
          <cell r="C112">
            <v>3</v>
          </cell>
        </row>
        <row r="113">
          <cell r="B113" t="str">
            <v>Luva de PVC - Ø 100mm</v>
          </cell>
          <cell r="C113">
            <v>3</v>
          </cell>
        </row>
        <row r="114">
          <cell r="B114" t="str">
            <v>Grelha e Porta Grelha de Ø 100mm</v>
          </cell>
          <cell r="C114">
            <v>10</v>
          </cell>
        </row>
        <row r="115">
          <cell r="B115" t="str">
            <v>Anel de Borracha - Ø 150mm</v>
          </cell>
          <cell r="C115">
            <v>31</v>
          </cell>
        </row>
        <row r="116">
          <cell r="B116" t="str">
            <v>Anel de Borracha - Ø 100mm</v>
          </cell>
          <cell r="C116">
            <v>77</v>
          </cell>
        </row>
        <row r="117">
          <cell r="B117" t="str">
            <v>Lixa</v>
          </cell>
          <cell r="C117">
            <v>11</v>
          </cell>
        </row>
        <row r="118">
          <cell r="B118" t="str">
            <v>Pasta Lubrificante - frasco c/ 400g</v>
          </cell>
          <cell r="C118">
            <v>1</v>
          </cell>
        </row>
        <row r="119">
          <cell r="B119" t="str">
            <v>Adesivo Plastico - frasco c/ 175g</v>
          </cell>
          <cell r="C119">
            <v>6</v>
          </cell>
        </row>
        <row r="122">
          <cell r="B122" t="str">
            <v>- Água Fria</v>
          </cell>
        </row>
        <row r="123">
          <cell r="B123" t="str">
            <v>Tubo de PVC - Ø 25mm</v>
          </cell>
          <cell r="C123">
            <v>111.00000000000001</v>
          </cell>
        </row>
        <row r="124">
          <cell r="B124" t="str">
            <v>Joelho de PVC 90º - Ø 25mm</v>
          </cell>
          <cell r="C124">
            <v>36</v>
          </cell>
        </row>
        <row r="125">
          <cell r="B125" t="str">
            <v>Joelho de PVC 90º - Ø 25mm x 1/2" - Azul</v>
          </cell>
          <cell r="C125">
            <v>10</v>
          </cell>
        </row>
        <row r="126">
          <cell r="B126" t="str">
            <v>Joelho de PVC 90º - Ø 25mm x 3/4" - Azul</v>
          </cell>
          <cell r="C126">
            <v>3</v>
          </cell>
        </row>
        <row r="127">
          <cell r="B127" t="str">
            <v>Te de PVC - Ø 25mm</v>
          </cell>
          <cell r="C127">
            <v>7</v>
          </cell>
        </row>
        <row r="128">
          <cell r="B128" t="str">
            <v>Adaptador p/ registro de Ø 25mm x 3/4"</v>
          </cell>
          <cell r="C128">
            <v>8</v>
          </cell>
        </row>
        <row r="129">
          <cell r="B129" t="str">
            <v>Luva c/ rosca de Ø 25mm x 3/4"</v>
          </cell>
          <cell r="C129">
            <v>6</v>
          </cell>
        </row>
        <row r="130">
          <cell r="B130" t="str">
            <v>Registro de Gaveta Ø 3/4"</v>
          </cell>
          <cell r="C130">
            <v>6</v>
          </cell>
        </row>
        <row r="131">
          <cell r="B131" t="str">
            <v>Registro de Pressão Ø 3/4"</v>
          </cell>
          <cell r="C131">
            <v>1</v>
          </cell>
        </row>
        <row r="132">
          <cell r="B132" t="str">
            <v>Lixa</v>
          </cell>
          <cell r="C132">
            <v>12</v>
          </cell>
        </row>
        <row r="133">
          <cell r="B133" t="str">
            <v>Adesivo Plastico - frasco c/ 175g</v>
          </cell>
          <cell r="C133">
            <v>6</v>
          </cell>
        </row>
        <row r="134">
          <cell r="B134" t="str">
            <v>Torneira de Jardim Ø 3/4"</v>
          </cell>
          <cell r="C134">
            <v>4</v>
          </cell>
        </row>
        <row r="137">
          <cell r="B137" t="str">
            <v>- Água Quente</v>
          </cell>
        </row>
        <row r="138">
          <cell r="B138" t="str">
            <v>Tubo de Cobre - Ø 22mm</v>
          </cell>
          <cell r="C138">
            <v>24.8</v>
          </cell>
        </row>
        <row r="139">
          <cell r="B139" t="str">
            <v>Cotovelo de Cobre 90º - Ø 22mm</v>
          </cell>
          <cell r="C139">
            <v>6</v>
          </cell>
        </row>
        <row r="140">
          <cell r="B140" t="str">
            <v>Cotovelo de Cobre 90º c/ rosca - Ø 22mm x 1/2"</v>
          </cell>
          <cell r="C140">
            <v>1</v>
          </cell>
        </row>
        <row r="141">
          <cell r="B141" t="str">
            <v>Conector de Cobre B/P - Ø 22mm x 1/2"</v>
          </cell>
          <cell r="C141">
            <v>1</v>
          </cell>
        </row>
        <row r="142">
          <cell r="B142" t="str">
            <v>Conector de Cobre B/B - Ø 22mm x 1/2"</v>
          </cell>
          <cell r="C142">
            <v>1</v>
          </cell>
        </row>
        <row r="143">
          <cell r="B143" t="str">
            <v>Registro de Gaveta Ø 1/2"</v>
          </cell>
          <cell r="C143">
            <v>1</v>
          </cell>
        </row>
        <row r="144">
          <cell r="B144" t="str">
            <v>Lixa</v>
          </cell>
          <cell r="C144">
            <v>3</v>
          </cell>
        </row>
        <row r="145">
          <cell r="B145" t="str">
            <v>Pasta p/ solda</v>
          </cell>
          <cell r="C145">
            <v>1</v>
          </cell>
        </row>
        <row r="146">
          <cell r="B146" t="str">
            <v>Estanho p/ solda</v>
          </cell>
          <cell r="C146">
            <v>1</v>
          </cell>
        </row>
        <row r="154">
          <cell r="B154" t="str">
            <v>Descrição</v>
          </cell>
          <cell r="C154" t="str">
            <v>Quant.</v>
          </cell>
        </row>
        <row r="155">
          <cell r="B155" t="str">
            <v>- Esgoto</v>
          </cell>
        </row>
        <row r="156">
          <cell r="B156" t="str">
            <v>Tubo de PVC - Ø 100mm</v>
          </cell>
          <cell r="C156">
            <v>122</v>
          </cell>
        </row>
        <row r="157">
          <cell r="B157" t="str">
            <v>Tubo de PVC - Ø 75mm</v>
          </cell>
          <cell r="C157">
            <v>68.5</v>
          </cell>
        </row>
        <row r="158">
          <cell r="B158" t="str">
            <v>Tubo de PVC - Ø 50mm</v>
          </cell>
          <cell r="C158">
            <v>41.70000000000001</v>
          </cell>
        </row>
        <row r="159">
          <cell r="B159" t="str">
            <v>Tubo de PVC - Ø 40mm</v>
          </cell>
          <cell r="C159">
            <v>21.3</v>
          </cell>
        </row>
        <row r="160">
          <cell r="B160" t="str">
            <v>Joelho de PVC 90º - Ø 100mm</v>
          </cell>
          <cell r="C160">
            <v>38</v>
          </cell>
        </row>
        <row r="161">
          <cell r="B161" t="str">
            <v>Joelho de PVC 90º - Ø 75mm</v>
          </cell>
          <cell r="C161">
            <v>16</v>
          </cell>
        </row>
        <row r="162">
          <cell r="B162" t="str">
            <v>Joelho de PVC 90º - Ø 50mm</v>
          </cell>
          <cell r="C162">
            <v>22</v>
          </cell>
        </row>
        <row r="163">
          <cell r="B163" t="str">
            <v>Joelho de PVC 90º - Ø 40mm</v>
          </cell>
          <cell r="C163">
            <v>17</v>
          </cell>
        </row>
        <row r="164">
          <cell r="B164" t="str">
            <v>Joelho de PVC 45º - Ø 100mm</v>
          </cell>
          <cell r="C164">
            <v>26</v>
          </cell>
        </row>
        <row r="165">
          <cell r="B165" t="str">
            <v>Joelho de PVC 45º - Ø 75mm</v>
          </cell>
          <cell r="C165">
            <v>7</v>
          </cell>
        </row>
        <row r="166">
          <cell r="B166" t="str">
            <v>Joelho de PVC 45º - Ø 50mm</v>
          </cell>
          <cell r="C166">
            <v>13</v>
          </cell>
        </row>
        <row r="167">
          <cell r="B167" t="str">
            <v>Joelho de PVC 45º - Ø 40mm</v>
          </cell>
          <cell r="C167">
            <v>9</v>
          </cell>
        </row>
        <row r="168">
          <cell r="B168" t="str">
            <v>Junção de PVC - Ø 100mm</v>
          </cell>
          <cell r="C168">
            <v>5</v>
          </cell>
        </row>
        <row r="169">
          <cell r="B169" t="str">
            <v>Junção de PVC - Ø 100mm x 75mm</v>
          </cell>
          <cell r="C169">
            <v>3</v>
          </cell>
        </row>
        <row r="170">
          <cell r="B170" t="str">
            <v>Junção de PVC - Ø 100mm x 50mm</v>
          </cell>
          <cell r="C170">
            <v>2</v>
          </cell>
        </row>
        <row r="171">
          <cell r="B171" t="str">
            <v>Junção de PVC - Ø 50mm</v>
          </cell>
          <cell r="C171">
            <v>7</v>
          </cell>
        </row>
        <row r="172">
          <cell r="B172" t="str">
            <v>Bucha de Redução de PVC - Ø 100mm x 50mm</v>
          </cell>
          <cell r="C172">
            <v>3</v>
          </cell>
        </row>
        <row r="173">
          <cell r="B173" t="str">
            <v>Te de Redução de PVC - Ø 75mm x 50mm x 75mm</v>
          </cell>
          <cell r="C173">
            <v>2</v>
          </cell>
        </row>
        <row r="174">
          <cell r="B174" t="str">
            <v>Luva de PVC - Ø 100mm</v>
          </cell>
          <cell r="C174">
            <v>5</v>
          </cell>
        </row>
        <row r="175">
          <cell r="B175" t="str">
            <v>Luva de PVC - Ø 75mm</v>
          </cell>
          <cell r="C175">
            <v>3</v>
          </cell>
        </row>
        <row r="176">
          <cell r="B176" t="str">
            <v>Luva de PVC - Ø 50mm</v>
          </cell>
          <cell r="C176">
            <v>2</v>
          </cell>
        </row>
        <row r="177">
          <cell r="B177" t="str">
            <v>Caixa Sifonada de PVC - Ø 100 x 100 x 40cm</v>
          </cell>
          <cell r="C177">
            <v>2</v>
          </cell>
        </row>
        <row r="178">
          <cell r="B178" t="str">
            <v>Caixa Sifonada de PVC - Ø 100 x 100 x 50cm</v>
          </cell>
          <cell r="C178">
            <v>7</v>
          </cell>
        </row>
        <row r="179">
          <cell r="B179" t="str">
            <v>Caixa Sifonada de PVC - Ø 150 x 150 x 50cm</v>
          </cell>
          <cell r="C179">
            <v>2</v>
          </cell>
        </row>
        <row r="180">
          <cell r="B180" t="str">
            <v>Caixa Sifonada de PVC - Ø 150 x 150 x 75cm</v>
          </cell>
          <cell r="C180">
            <v>2</v>
          </cell>
        </row>
        <row r="181">
          <cell r="B181" t="str">
            <v>Anel de Borracha - Ø 100mm</v>
          </cell>
          <cell r="C181">
            <v>84</v>
          </cell>
        </row>
        <row r="182">
          <cell r="B182" t="str">
            <v>Anel de Borracha - Ø 75mm</v>
          </cell>
          <cell r="C182">
            <v>40</v>
          </cell>
        </row>
        <row r="183">
          <cell r="B183" t="str">
            <v>Anel de Borracha - Ø 50mm</v>
          </cell>
          <cell r="C183">
            <v>57</v>
          </cell>
        </row>
        <row r="184">
          <cell r="B184" t="str">
            <v>Lixa</v>
          </cell>
          <cell r="C184">
            <v>19</v>
          </cell>
        </row>
        <row r="185">
          <cell r="B185" t="str">
            <v>Pasta Lubrificante - frasco c/ 400g</v>
          </cell>
          <cell r="C185">
            <v>1</v>
          </cell>
        </row>
        <row r="186">
          <cell r="B186" t="str">
            <v>Adesivo Plastico - frasco c/ 175g</v>
          </cell>
          <cell r="C186">
            <v>10</v>
          </cell>
        </row>
        <row r="189">
          <cell r="B189" t="str">
            <v>- Água Pluvial</v>
          </cell>
        </row>
        <row r="190">
          <cell r="B190" t="str">
            <v>Tubo de PVC - Ø 100mm</v>
          </cell>
          <cell r="C190">
            <v>68</v>
          </cell>
        </row>
        <row r="191">
          <cell r="B191" t="str">
            <v>Tubo de PVC - Ø 75mm</v>
          </cell>
          <cell r="C191">
            <v>22.5</v>
          </cell>
        </row>
        <row r="192">
          <cell r="B192" t="str">
            <v>Tubo de PVC - Ø 50mm</v>
          </cell>
          <cell r="C192">
            <v>24.000000000000007</v>
          </cell>
        </row>
        <row r="193">
          <cell r="B193" t="str">
            <v>Joelho de PVC 90º - Ø 100mm</v>
          </cell>
          <cell r="C193">
            <v>19</v>
          </cell>
        </row>
        <row r="194">
          <cell r="B194" t="str">
            <v>Joelho de PVC 90º - Ø 75mm</v>
          </cell>
          <cell r="C194">
            <v>5</v>
          </cell>
        </row>
        <row r="195">
          <cell r="B195" t="str">
            <v>Joelho de PVC 90º - Ø 50mm</v>
          </cell>
          <cell r="C195">
            <v>4</v>
          </cell>
        </row>
        <row r="196">
          <cell r="B196" t="str">
            <v>Joelho de PVC 45º - Ø 100mm</v>
          </cell>
          <cell r="C196">
            <v>10</v>
          </cell>
        </row>
        <row r="197">
          <cell r="B197" t="str">
            <v>Joelho de PVC 45º - Ø 75mm</v>
          </cell>
          <cell r="C197">
            <v>2</v>
          </cell>
        </row>
        <row r="198">
          <cell r="B198" t="str">
            <v>Joelho de PVC 45º - Ø 50mm</v>
          </cell>
          <cell r="C198">
            <v>2</v>
          </cell>
        </row>
        <row r="199">
          <cell r="B199" t="str">
            <v>Junção de PVC - Ø 75mm x 50mm</v>
          </cell>
          <cell r="C199">
            <v>2</v>
          </cell>
        </row>
        <row r="200">
          <cell r="B200" t="str">
            <v>Junção de PVC - Ø 50mm</v>
          </cell>
          <cell r="C200">
            <v>5</v>
          </cell>
        </row>
        <row r="201">
          <cell r="B201" t="str">
            <v>Luva de PVC - Ø 100mm</v>
          </cell>
          <cell r="C201">
            <v>3</v>
          </cell>
        </row>
        <row r="202">
          <cell r="B202" t="str">
            <v>Luva de PVC - Ø 75mm</v>
          </cell>
          <cell r="C202">
            <v>1</v>
          </cell>
        </row>
        <row r="203">
          <cell r="B203" t="str">
            <v>Luva de PVC - Ø 50mm</v>
          </cell>
          <cell r="C203">
            <v>1</v>
          </cell>
        </row>
        <row r="204">
          <cell r="B204" t="str">
            <v>Caixa Sifonada de PVC - Ø 100 x 100 x 40cm</v>
          </cell>
          <cell r="C204">
            <v>11</v>
          </cell>
        </row>
        <row r="205">
          <cell r="B205" t="str">
            <v>Anel de Borracha - Ø 100mm</v>
          </cell>
          <cell r="C205">
            <v>32</v>
          </cell>
        </row>
        <row r="206">
          <cell r="B206" t="str">
            <v>Anel de Borracha - Ø 75mm</v>
          </cell>
          <cell r="C206">
            <v>10</v>
          </cell>
        </row>
        <row r="207">
          <cell r="B207" t="str">
            <v>Anel de Borracha - Ø 50mm</v>
          </cell>
          <cell r="C207">
            <v>19</v>
          </cell>
        </row>
        <row r="208">
          <cell r="B208" t="str">
            <v>Lixa</v>
          </cell>
          <cell r="C208">
            <v>12</v>
          </cell>
        </row>
        <row r="209">
          <cell r="B209" t="str">
            <v>Pasta Lubrificante - frasco c/ 400g</v>
          </cell>
          <cell r="C209">
            <v>1</v>
          </cell>
        </row>
        <row r="210">
          <cell r="B210" t="str">
            <v>Adesivo Plastico - frasco c/ 175g</v>
          </cell>
          <cell r="C210">
            <v>4</v>
          </cell>
        </row>
        <row r="213">
          <cell r="B213" t="str">
            <v>- Água Fria</v>
          </cell>
        </row>
        <row r="214">
          <cell r="B214" t="str">
            <v>Tubo de PVC - Ø 25mm</v>
          </cell>
          <cell r="C214">
            <v>88.699999999999989</v>
          </cell>
        </row>
        <row r="215">
          <cell r="B215" t="str">
            <v>Joelho de PVC 90º - Ø 25mm</v>
          </cell>
          <cell r="C215">
            <v>55</v>
          </cell>
        </row>
        <row r="216">
          <cell r="B216" t="str">
            <v>Joelho de PVC 90º - Ø 25mm x 1/2" - Azul</v>
          </cell>
          <cell r="C216">
            <v>32</v>
          </cell>
        </row>
        <row r="217">
          <cell r="B217" t="str">
            <v>Joelho de PVC 90º - Ø 25mm x 3/4" - Azul</v>
          </cell>
          <cell r="C217">
            <v>3</v>
          </cell>
        </row>
        <row r="218">
          <cell r="B218" t="str">
            <v>Te de PVC - Ø 25mm</v>
          </cell>
          <cell r="C218">
            <v>39</v>
          </cell>
        </row>
        <row r="219">
          <cell r="B219" t="str">
            <v>Adaptador p/ registro de Ø 25mm x 3/4"</v>
          </cell>
          <cell r="C219">
            <v>42</v>
          </cell>
        </row>
        <row r="220">
          <cell r="B220" t="str">
            <v>Luva c/ rosca de Ø 25mm x 3/4"</v>
          </cell>
          <cell r="C220">
            <v>10</v>
          </cell>
        </row>
        <row r="221">
          <cell r="B221" t="str">
            <v>Registro de Gaveta Ø 3/4"</v>
          </cell>
          <cell r="C221">
            <v>16</v>
          </cell>
        </row>
        <row r="222">
          <cell r="B222" t="str">
            <v>Registro de Pressão Ø 3/4"</v>
          </cell>
          <cell r="C222">
            <v>10</v>
          </cell>
        </row>
        <row r="223">
          <cell r="B223" t="str">
            <v>Lixa</v>
          </cell>
          <cell r="C223">
            <v>9</v>
          </cell>
        </row>
        <row r="224">
          <cell r="B224" t="str">
            <v>Adesivo Plastico - frasco c/ 175g</v>
          </cell>
          <cell r="C224">
            <v>5</v>
          </cell>
        </row>
        <row r="227">
          <cell r="B227" t="str">
            <v>- Água Quente</v>
          </cell>
        </row>
        <row r="228">
          <cell r="B228" t="str">
            <v>Tubo de Cobre - Ø 22mm</v>
          </cell>
          <cell r="C228">
            <v>120.20000000000002</v>
          </cell>
        </row>
        <row r="229">
          <cell r="B229" t="str">
            <v>Cotovelo de Cobre 90º - Ø 22mm</v>
          </cell>
          <cell r="C229">
            <v>96</v>
          </cell>
        </row>
        <row r="230">
          <cell r="B230" t="str">
            <v>Cotovelo de Cobre 90º c/ rosca - Ø 22mm x 1/2"</v>
          </cell>
          <cell r="C230">
            <v>20</v>
          </cell>
        </row>
        <row r="231">
          <cell r="B231" t="str">
            <v>Conector de Cobre B/P - Ø 22mm x 1/2"</v>
          </cell>
          <cell r="C231">
            <v>30</v>
          </cell>
        </row>
        <row r="232">
          <cell r="B232" t="str">
            <v>Conector de Cobre B/B - Ø 22mm x 1/2"</v>
          </cell>
          <cell r="C232">
            <v>10</v>
          </cell>
        </row>
        <row r="233">
          <cell r="B233" t="str">
            <v>Registro de Gaveta Ø 1/2"</v>
          </cell>
          <cell r="C233">
            <v>10</v>
          </cell>
        </row>
        <row r="234">
          <cell r="B234" t="str">
            <v>Registro de Pressão Ø 1/2"</v>
          </cell>
          <cell r="C234">
            <v>10</v>
          </cell>
        </row>
        <row r="235">
          <cell r="B235" t="str">
            <v>Te Misturador Ø 1/2"</v>
          </cell>
          <cell r="C235">
            <v>10</v>
          </cell>
        </row>
        <row r="236">
          <cell r="B236" t="str">
            <v>Te de Cobre Ø 22mm</v>
          </cell>
          <cell r="C236">
            <v>8</v>
          </cell>
        </row>
        <row r="237">
          <cell r="B237" t="str">
            <v>Lixa</v>
          </cell>
          <cell r="C237">
            <v>13</v>
          </cell>
        </row>
        <row r="238">
          <cell r="B238" t="str">
            <v>Pasta p/ solda</v>
          </cell>
          <cell r="C238">
            <v>2</v>
          </cell>
        </row>
        <row r="239">
          <cell r="B239" t="str">
            <v>Estanho p/ solda</v>
          </cell>
          <cell r="C239">
            <v>10</v>
          </cell>
        </row>
        <row r="247">
          <cell r="B247" t="str">
            <v>Descrição</v>
          </cell>
        </row>
        <row r="248">
          <cell r="B248" t="str">
            <v>- Esgoto</v>
          </cell>
        </row>
        <row r="249">
          <cell r="B249" t="str">
            <v>Tubo de PVC - Ø 100mm</v>
          </cell>
          <cell r="H249">
            <v>96</v>
          </cell>
        </row>
        <row r="250">
          <cell r="B250" t="str">
            <v>Tubo de PVC - Ø 75mm</v>
          </cell>
          <cell r="H250">
            <v>47.6</v>
          </cell>
        </row>
        <row r="251">
          <cell r="B251" t="str">
            <v>Tubo de PVC - Ø 50mm</v>
          </cell>
          <cell r="H251">
            <v>37.800000000000004</v>
          </cell>
        </row>
        <row r="252">
          <cell r="B252" t="str">
            <v>Tubo de PVC - Ø 40mm</v>
          </cell>
          <cell r="H252">
            <v>17.299999999999997</v>
          </cell>
        </row>
        <row r="253">
          <cell r="B253" t="str">
            <v>Joelho de PVC 90º - Ø 100mm</v>
          </cell>
          <cell r="H253">
            <v>26</v>
          </cell>
        </row>
        <row r="254">
          <cell r="B254" t="str">
            <v>Joelho de PVC 90º - Ø 50mm</v>
          </cell>
          <cell r="H254">
            <v>47</v>
          </cell>
        </row>
        <row r="255">
          <cell r="B255" t="str">
            <v>Joelho de PVC 90º - Ø 40mm</v>
          </cell>
          <cell r="H255">
            <v>39</v>
          </cell>
        </row>
        <row r="256">
          <cell r="B256" t="str">
            <v>Joelho de PVC 45º - Ø 100mm</v>
          </cell>
          <cell r="H256">
            <v>20</v>
          </cell>
        </row>
        <row r="257">
          <cell r="B257" t="str">
            <v>Joelho de PVC 45º - Ø 75mm</v>
          </cell>
          <cell r="H257">
            <v>2</v>
          </cell>
        </row>
        <row r="258">
          <cell r="B258" t="str">
            <v>Joelho de PVC 45º - Ø 50mm</v>
          </cell>
          <cell r="H258">
            <v>26</v>
          </cell>
        </row>
        <row r="259">
          <cell r="B259" t="str">
            <v>Joelho de PVC 45º - Ø 40mm</v>
          </cell>
          <cell r="H259">
            <v>12</v>
          </cell>
        </row>
        <row r="260">
          <cell r="B260" t="str">
            <v>Junção de PVC - Ø 100mm</v>
          </cell>
          <cell r="H260">
            <v>30</v>
          </cell>
        </row>
        <row r="261">
          <cell r="B261" t="str">
            <v>Junção de PVC - Ø 100mm x 50mm</v>
          </cell>
          <cell r="H261">
            <v>4</v>
          </cell>
        </row>
        <row r="262">
          <cell r="B262" t="str">
            <v>Junção de PVC - Ø 75mm x 50mm</v>
          </cell>
          <cell r="H262">
            <v>14</v>
          </cell>
        </row>
        <row r="263">
          <cell r="B263" t="str">
            <v>Junção de PVC - Ø 50mm</v>
          </cell>
          <cell r="H263">
            <v>8</v>
          </cell>
        </row>
        <row r="264">
          <cell r="B264" t="str">
            <v>Junção de PVC - Ø 40mm</v>
          </cell>
          <cell r="H264">
            <v>5</v>
          </cell>
        </row>
        <row r="265">
          <cell r="B265" t="str">
            <v>Bucha de Redução de PVC - Ø 100mm x 75mm</v>
          </cell>
          <cell r="H265">
            <v>3</v>
          </cell>
        </row>
        <row r="266">
          <cell r="B266" t="str">
            <v>Bucha de Redução de PVC - Ø 100mm x 50mm</v>
          </cell>
          <cell r="H266">
            <v>4</v>
          </cell>
        </row>
        <row r="267">
          <cell r="B267" t="str">
            <v>Bucha de Redução de PVC - Ø 50mm x 40mm</v>
          </cell>
          <cell r="H267">
            <v>5</v>
          </cell>
        </row>
        <row r="268">
          <cell r="B268" t="str">
            <v>Te de Redução de PVC - Ø 75mm x 50mm x 75mm</v>
          </cell>
          <cell r="H268">
            <v>2</v>
          </cell>
        </row>
        <row r="269">
          <cell r="B269" t="str">
            <v>Te de Redução de PVC - Ø 50mm</v>
          </cell>
          <cell r="H269">
            <v>4</v>
          </cell>
        </row>
        <row r="270">
          <cell r="B270" t="str">
            <v>Luva de PVC - Ø 100mm</v>
          </cell>
          <cell r="H270">
            <v>4</v>
          </cell>
        </row>
        <row r="271">
          <cell r="B271" t="str">
            <v>Luva de PVC - Ø 75mm</v>
          </cell>
          <cell r="H271">
            <v>2</v>
          </cell>
        </row>
        <row r="272">
          <cell r="B272" t="str">
            <v>Luva de PVC - Ø 50mm</v>
          </cell>
          <cell r="H272">
            <v>2</v>
          </cell>
        </row>
        <row r="273">
          <cell r="B273" t="str">
            <v>Caixa Sifonada de PVC - Ø 100 x 100 x 40cm</v>
          </cell>
          <cell r="H273">
            <v>3</v>
          </cell>
        </row>
        <row r="274">
          <cell r="B274" t="str">
            <v>Caixa Sifonada de PVC - Ø 150 x 150 x 50cm</v>
          </cell>
          <cell r="H274">
            <v>6</v>
          </cell>
        </row>
        <row r="275">
          <cell r="B275" t="str">
            <v>Caixa Sifonada de PVC - Ø 150 x 185 x 75cm</v>
          </cell>
          <cell r="H275">
            <v>2</v>
          </cell>
        </row>
        <row r="276">
          <cell r="B276" t="str">
            <v>Anel de Borracha - Ø 100mm</v>
          </cell>
          <cell r="H276">
            <v>128</v>
          </cell>
        </row>
        <row r="277">
          <cell r="B277" t="str">
            <v>Anel de Borracha - Ø 75mm</v>
          </cell>
          <cell r="H277">
            <v>18</v>
          </cell>
        </row>
        <row r="278">
          <cell r="B278" t="str">
            <v>Anel de Borracha - Ø 50mm</v>
          </cell>
          <cell r="H278">
            <v>105</v>
          </cell>
        </row>
        <row r="279">
          <cell r="B279" t="str">
            <v>Lixa</v>
          </cell>
          <cell r="H279">
            <v>26</v>
          </cell>
        </row>
        <row r="280">
          <cell r="B280" t="str">
            <v>Pasta Lubrificante - frasco c/ 400g</v>
          </cell>
          <cell r="H280">
            <v>2</v>
          </cell>
        </row>
        <row r="281">
          <cell r="B281" t="str">
            <v>Adesivo Plastico - frasco c/ 175g</v>
          </cell>
          <cell r="H281">
            <v>13</v>
          </cell>
        </row>
        <row r="284">
          <cell r="B284" t="str">
            <v>- Água Pluvial</v>
          </cell>
        </row>
        <row r="285">
          <cell r="B285" t="str">
            <v>Tubo de PVC - Ø 100mm</v>
          </cell>
          <cell r="H285">
            <v>65.2</v>
          </cell>
        </row>
        <row r="286">
          <cell r="B286" t="str">
            <v>Tubo de PVC - Ø 75mm</v>
          </cell>
          <cell r="H286">
            <v>21.5</v>
          </cell>
        </row>
        <row r="287">
          <cell r="B287" t="str">
            <v>Tubo de PVC - Ø 50mm</v>
          </cell>
          <cell r="H287">
            <v>24.000000000000007</v>
          </cell>
        </row>
        <row r="288">
          <cell r="B288" t="str">
            <v>Joelho de PVC 90º - Ø 100mm</v>
          </cell>
          <cell r="H288">
            <v>26</v>
          </cell>
        </row>
        <row r="289">
          <cell r="B289" t="str">
            <v>Joelho de PVC 90º - Ø 75mm</v>
          </cell>
          <cell r="H289">
            <v>2</v>
          </cell>
        </row>
        <row r="290">
          <cell r="B290" t="str">
            <v>Joelho de PVC 90º - Ø 50mm</v>
          </cell>
          <cell r="H290">
            <v>4</v>
          </cell>
        </row>
        <row r="291">
          <cell r="B291" t="str">
            <v>Joelho de PVC 45º - Ø 100mm</v>
          </cell>
          <cell r="H291">
            <v>10</v>
          </cell>
        </row>
        <row r="292">
          <cell r="B292" t="str">
            <v>Joelho de PVC 45º - Ø 75mm</v>
          </cell>
          <cell r="H292">
            <v>2</v>
          </cell>
        </row>
        <row r="293">
          <cell r="B293" t="str">
            <v>Joelho de PVC 45º - Ø 50mm</v>
          </cell>
          <cell r="H293">
            <v>2</v>
          </cell>
        </row>
        <row r="294">
          <cell r="B294" t="str">
            <v>Junção de PVC - Ø 75mm x 50mm</v>
          </cell>
          <cell r="H294">
            <v>2</v>
          </cell>
        </row>
        <row r="295">
          <cell r="B295" t="str">
            <v>Junção de PVC - Ø 50mm</v>
          </cell>
          <cell r="H295">
            <v>5</v>
          </cell>
        </row>
        <row r="296">
          <cell r="B296" t="str">
            <v>Luva de PVC - Ø 100mm</v>
          </cell>
          <cell r="H296">
            <v>3</v>
          </cell>
        </row>
        <row r="297">
          <cell r="B297" t="str">
            <v>Luva de PVC - Ø 75mm</v>
          </cell>
          <cell r="H297">
            <v>1</v>
          </cell>
        </row>
        <row r="298">
          <cell r="B298" t="str">
            <v>Luva de PVC - Ø 50mm</v>
          </cell>
          <cell r="H298">
            <v>1</v>
          </cell>
        </row>
        <row r="299">
          <cell r="B299" t="str">
            <v>Caixa Sifonada de PVC - Ø 100 x 100 x 40cm</v>
          </cell>
          <cell r="H299">
            <v>11</v>
          </cell>
        </row>
        <row r="300">
          <cell r="B300" t="str">
            <v>Anel de Borracha - Ø 100mm</v>
          </cell>
          <cell r="H300">
            <v>39</v>
          </cell>
        </row>
        <row r="301">
          <cell r="B301" t="str">
            <v>Anel de Borracha - Ø 75mm</v>
          </cell>
          <cell r="H301">
            <v>7</v>
          </cell>
        </row>
        <row r="302">
          <cell r="B302" t="str">
            <v>Anel de Borracha - Ø 50mm</v>
          </cell>
          <cell r="H302">
            <v>19</v>
          </cell>
        </row>
        <row r="303">
          <cell r="B303" t="str">
            <v>Lixa</v>
          </cell>
          <cell r="H303">
            <v>12</v>
          </cell>
        </row>
        <row r="304">
          <cell r="B304" t="str">
            <v>Pasta Lubrificante - frasco c/ 400g</v>
          </cell>
          <cell r="H304">
            <v>1</v>
          </cell>
        </row>
        <row r="305">
          <cell r="B305" t="str">
            <v>Adesivo Plastico - frasco c/ 175g</v>
          </cell>
          <cell r="H305">
            <v>4</v>
          </cell>
        </row>
        <row r="308">
          <cell r="B308" t="str">
            <v>- Água Fria</v>
          </cell>
          <cell r="H308">
            <v>4</v>
          </cell>
        </row>
        <row r="309">
          <cell r="B309" t="str">
            <v>Tubo de PVC - Ø 40mm</v>
          </cell>
          <cell r="H309">
            <v>22.22</v>
          </cell>
        </row>
        <row r="310">
          <cell r="B310" t="str">
            <v>Tubo de PVC - Ø 32mm</v>
          </cell>
          <cell r="H310">
            <v>36.6</v>
          </cell>
        </row>
        <row r="311">
          <cell r="B311" t="str">
            <v>Tubo de PVC - Ø 25mm</v>
          </cell>
          <cell r="H311">
            <v>88.7</v>
          </cell>
        </row>
        <row r="312">
          <cell r="B312" t="str">
            <v>Joelho de PVC 90º - Ø 40mm</v>
          </cell>
          <cell r="H312">
            <v>6</v>
          </cell>
        </row>
        <row r="313">
          <cell r="B313" t="str">
            <v>Joelho de PVC 90º - Ø 32mm</v>
          </cell>
          <cell r="H313">
            <v>20</v>
          </cell>
        </row>
        <row r="314">
          <cell r="B314" t="str">
            <v>Joelho de PVC 90º - Ø 25mm</v>
          </cell>
          <cell r="H314">
            <v>55</v>
          </cell>
        </row>
        <row r="315">
          <cell r="B315" t="str">
            <v>Joelho de PVC 90º - Ø 25mm x 1/2" - Azul</v>
          </cell>
          <cell r="H315">
            <v>32</v>
          </cell>
        </row>
        <row r="316">
          <cell r="B316" t="str">
            <v>Joelho de PVC 90º - Ø 25mm x 3/4" - Azul</v>
          </cell>
          <cell r="H316">
            <v>3</v>
          </cell>
        </row>
        <row r="317">
          <cell r="B317" t="str">
            <v>Te de PVC - Ø 40mm x 32mm</v>
          </cell>
          <cell r="H317">
            <v>6</v>
          </cell>
        </row>
        <row r="318">
          <cell r="B318" t="str">
            <v>Te de PVC - Ø 32mm</v>
          </cell>
          <cell r="H318">
            <v>4</v>
          </cell>
        </row>
        <row r="319">
          <cell r="B319" t="str">
            <v>Te de PVC - Ø 25mm</v>
          </cell>
          <cell r="H319">
            <v>39</v>
          </cell>
        </row>
        <row r="320">
          <cell r="B320" t="str">
            <v>Bucha de Redução - Ø 40mm x 32mm</v>
          </cell>
          <cell r="H320">
            <v>2</v>
          </cell>
        </row>
        <row r="321">
          <cell r="B321" t="str">
            <v>Adaptador p/ registro de Ø 25mm x 3/4"</v>
          </cell>
          <cell r="H321">
            <v>42</v>
          </cell>
        </row>
        <row r="322">
          <cell r="B322" t="str">
            <v>Luva c/ rosca de Ø 25mm x 3/4"</v>
          </cell>
          <cell r="H322">
            <v>10</v>
          </cell>
        </row>
        <row r="323">
          <cell r="B323" t="str">
            <v>Registro de Gaveta Ø 3/4"</v>
          </cell>
          <cell r="H323">
            <v>16</v>
          </cell>
        </row>
        <row r="324">
          <cell r="B324" t="str">
            <v>Registro de Pressão Ø 3/4"</v>
          </cell>
          <cell r="H324">
            <v>10</v>
          </cell>
        </row>
        <row r="325">
          <cell r="B325" t="str">
            <v>Lixa</v>
          </cell>
          <cell r="H325">
            <v>9</v>
          </cell>
        </row>
        <row r="326">
          <cell r="B326" t="str">
            <v>Adesivo Plastico - frasco c/ 175g</v>
          </cell>
          <cell r="H326">
            <v>5</v>
          </cell>
        </row>
        <row r="329">
          <cell r="B329" t="str">
            <v>- Água Quente</v>
          </cell>
        </row>
        <row r="330">
          <cell r="B330" t="str">
            <v>Tubo de Cobre - Ø 22mm</v>
          </cell>
          <cell r="H330">
            <v>126.70000000000002</v>
          </cell>
        </row>
        <row r="331">
          <cell r="B331" t="str">
            <v>Cotovelo de Cobre 90º - Ø 22mm</v>
          </cell>
          <cell r="H331">
            <v>96</v>
          </cell>
        </row>
        <row r="332">
          <cell r="B332" t="str">
            <v>Cotovelo de Cobre 90º c/ rosca - Ø 22mm x 1/2"</v>
          </cell>
          <cell r="H332">
            <v>20</v>
          </cell>
        </row>
        <row r="333">
          <cell r="B333" t="str">
            <v>Conector de Cobre B/P - Ø 22mm x 1/2"</v>
          </cell>
          <cell r="H333">
            <v>30</v>
          </cell>
        </row>
        <row r="334">
          <cell r="B334" t="str">
            <v>Conector de Cobre B/B - Ø 22mm x 1/2"</v>
          </cell>
          <cell r="H334">
            <v>10</v>
          </cell>
        </row>
        <row r="335">
          <cell r="B335" t="str">
            <v>Registro de Gaveta Ø 1/2"</v>
          </cell>
          <cell r="H335">
            <v>10</v>
          </cell>
        </row>
        <row r="336">
          <cell r="B336" t="str">
            <v>Registro de Pressão Ø 1/2"</v>
          </cell>
          <cell r="H336">
            <v>10</v>
          </cell>
        </row>
        <row r="337">
          <cell r="B337" t="str">
            <v>Te Misturador Ø 1/2"</v>
          </cell>
          <cell r="H337">
            <v>10</v>
          </cell>
        </row>
        <row r="338">
          <cell r="B338" t="str">
            <v>Te de Cobre Ø 22mm</v>
          </cell>
          <cell r="H338">
            <v>8</v>
          </cell>
        </row>
        <row r="339">
          <cell r="B339" t="str">
            <v>Lixa</v>
          </cell>
          <cell r="H339">
            <v>13</v>
          </cell>
        </row>
        <row r="340">
          <cell r="B340" t="str">
            <v>Pasta p/ solda</v>
          </cell>
          <cell r="H340">
            <v>2</v>
          </cell>
        </row>
        <row r="341">
          <cell r="B341" t="str">
            <v>Estanho p/ solda</v>
          </cell>
          <cell r="H341">
            <v>10</v>
          </cell>
        </row>
        <row r="349">
          <cell r="B349" t="str">
            <v>Descrição</v>
          </cell>
          <cell r="C349" t="str">
            <v>Quant.</v>
          </cell>
        </row>
        <row r="350">
          <cell r="B350" t="str">
            <v>- Esgoto</v>
          </cell>
        </row>
        <row r="351">
          <cell r="B351" t="str">
            <v>Tubo de PVC - Ø 100mm</v>
          </cell>
          <cell r="C351">
            <v>96</v>
          </cell>
        </row>
        <row r="352">
          <cell r="B352" t="str">
            <v>Tubo de PVC - Ø 75mm</v>
          </cell>
          <cell r="C352">
            <v>48.6</v>
          </cell>
        </row>
        <row r="353">
          <cell r="B353" t="str">
            <v>Tubo de PVC - Ø 50mm</v>
          </cell>
          <cell r="C353">
            <v>37.800000000000004</v>
          </cell>
        </row>
        <row r="354">
          <cell r="B354" t="str">
            <v>Tubo de PVC - Ø 40mm</v>
          </cell>
          <cell r="C354">
            <v>17.299999999999997</v>
          </cell>
        </row>
        <row r="355">
          <cell r="B355" t="str">
            <v>Joelho de PVC 90º - Ø 100mm</v>
          </cell>
          <cell r="C355">
            <v>26</v>
          </cell>
        </row>
        <row r="356">
          <cell r="B356" t="str">
            <v>Joelho de PVC 90º - Ø 50mm</v>
          </cell>
          <cell r="C356">
            <v>42</v>
          </cell>
        </row>
        <row r="357">
          <cell r="B357" t="str">
            <v>Joelho de PVC 90º - Ø 40mm</v>
          </cell>
          <cell r="C357">
            <v>37</v>
          </cell>
        </row>
        <row r="358">
          <cell r="B358" t="str">
            <v>Joelho de PVC 45º - Ø 100mm</v>
          </cell>
          <cell r="C358">
            <v>20</v>
          </cell>
        </row>
        <row r="359">
          <cell r="B359" t="str">
            <v>Joelho de PVC 45º - Ø 75mm</v>
          </cell>
          <cell r="C359">
            <v>2</v>
          </cell>
        </row>
        <row r="360">
          <cell r="B360" t="str">
            <v>Joelho de PVC 45º - Ø 50mm</v>
          </cell>
          <cell r="C360">
            <v>26</v>
          </cell>
        </row>
        <row r="361">
          <cell r="B361" t="str">
            <v>Joelho de PVC 45º - Ø 40mm</v>
          </cell>
          <cell r="C361">
            <v>12</v>
          </cell>
        </row>
        <row r="362">
          <cell r="B362" t="str">
            <v>Junção de PVC - Ø 100mm</v>
          </cell>
          <cell r="C362">
            <v>30</v>
          </cell>
        </row>
        <row r="363">
          <cell r="B363" t="str">
            <v>Junção de PVC - Ø 100mm x 50mm</v>
          </cell>
          <cell r="C363">
            <v>4</v>
          </cell>
        </row>
        <row r="364">
          <cell r="B364" t="str">
            <v>Junção de PVC - Ø 75mm x 50mm</v>
          </cell>
          <cell r="C364">
            <v>14</v>
          </cell>
        </row>
        <row r="365">
          <cell r="B365" t="str">
            <v>Junção de PVC - Ø 50mm</v>
          </cell>
          <cell r="C365">
            <v>8</v>
          </cell>
        </row>
        <row r="366">
          <cell r="B366" t="str">
            <v>Junção de PVC - Ø 40mm</v>
          </cell>
          <cell r="C366">
            <v>5</v>
          </cell>
        </row>
        <row r="367">
          <cell r="B367" t="str">
            <v>Bucha de Redução de PVC - Ø 100mm x 75mm</v>
          </cell>
          <cell r="C367">
            <v>3</v>
          </cell>
        </row>
        <row r="368">
          <cell r="B368" t="str">
            <v>Bucha de Redução de PVC - Ø 100mm x 50mm</v>
          </cell>
          <cell r="C368">
            <v>4</v>
          </cell>
        </row>
        <row r="369">
          <cell r="B369" t="str">
            <v>Bucha de Redução de PVC - Ø 50mm x 40mm</v>
          </cell>
          <cell r="C369">
            <v>5</v>
          </cell>
        </row>
        <row r="370">
          <cell r="B370" t="str">
            <v>Te de Redução de PVC - Ø 75mm x 50mm x 75mm</v>
          </cell>
          <cell r="C370">
            <v>2</v>
          </cell>
        </row>
        <row r="371">
          <cell r="B371" t="str">
            <v>Te de Redução de PVC - Ø 50mm</v>
          </cell>
          <cell r="C371">
            <v>4</v>
          </cell>
        </row>
        <row r="372">
          <cell r="B372" t="str">
            <v>Luva de PVC - Ø 100mm</v>
          </cell>
          <cell r="C372">
            <v>4</v>
          </cell>
        </row>
        <row r="373">
          <cell r="B373" t="str">
            <v>Luva de PVC - Ø 75mm</v>
          </cell>
          <cell r="C373">
            <v>2</v>
          </cell>
        </row>
        <row r="374">
          <cell r="B374" t="str">
            <v>Luva de PVC - Ø 50mm</v>
          </cell>
          <cell r="C374">
            <v>2</v>
          </cell>
        </row>
        <row r="375">
          <cell r="B375" t="str">
            <v>Caixa Sifonada de PVC - Ø 100 x 100 x 40cm</v>
          </cell>
          <cell r="C375">
            <v>3</v>
          </cell>
        </row>
        <row r="376">
          <cell r="B376" t="str">
            <v>Caixa Sifonada de PVC - Ø 150 x 150 x 50cm</v>
          </cell>
          <cell r="C376">
            <v>6</v>
          </cell>
        </row>
        <row r="377">
          <cell r="B377" t="str">
            <v>Caixa Sifonada de PVC - Ø 150 x 185 x 75cm</v>
          </cell>
          <cell r="C377">
            <v>2</v>
          </cell>
        </row>
        <row r="378">
          <cell r="B378" t="str">
            <v>Anel de Borracha - Ø 100mm</v>
          </cell>
          <cell r="C378">
            <v>128</v>
          </cell>
        </row>
        <row r="379">
          <cell r="B379" t="str">
            <v>Anel de Borracha - Ø 75mm</v>
          </cell>
          <cell r="C379">
            <v>18</v>
          </cell>
        </row>
        <row r="380">
          <cell r="B380" t="str">
            <v>Anel de Borracha - Ø 50mm</v>
          </cell>
          <cell r="C380">
            <v>100</v>
          </cell>
        </row>
        <row r="381">
          <cell r="B381" t="str">
            <v>Lixa</v>
          </cell>
          <cell r="C381">
            <v>25</v>
          </cell>
        </row>
        <row r="382">
          <cell r="B382" t="str">
            <v>Pasta Lubrificante - frasco c/ 400g</v>
          </cell>
          <cell r="C382">
            <v>2</v>
          </cell>
        </row>
        <row r="383">
          <cell r="B383" t="str">
            <v>Adesivo Plastico - frasco c/ 175g</v>
          </cell>
          <cell r="C383">
            <v>13</v>
          </cell>
        </row>
        <row r="386">
          <cell r="B386" t="str">
            <v>- Água Pluvial</v>
          </cell>
        </row>
        <row r="387">
          <cell r="B387" t="str">
            <v>Tubo de PVC - Ø 100mm</v>
          </cell>
          <cell r="C387">
            <v>65.2</v>
          </cell>
        </row>
        <row r="388">
          <cell r="B388" t="str">
            <v>Tubo de PVC - Ø 75mm</v>
          </cell>
          <cell r="C388">
            <v>21.5</v>
          </cell>
        </row>
        <row r="389">
          <cell r="B389" t="str">
            <v>Tubo de PVC - Ø 50mm</v>
          </cell>
          <cell r="C389">
            <v>24.000000000000007</v>
          </cell>
        </row>
        <row r="390">
          <cell r="B390" t="str">
            <v>Joelho de PVC 90º - Ø 100mm</v>
          </cell>
          <cell r="C390">
            <v>17</v>
          </cell>
        </row>
        <row r="391">
          <cell r="B391" t="str">
            <v>Joelho de PVC 90º - Ø 75mm</v>
          </cell>
          <cell r="C391">
            <v>2</v>
          </cell>
        </row>
        <row r="392">
          <cell r="B392" t="str">
            <v>Joelho de PVC 90º - Ø 50mm</v>
          </cell>
          <cell r="C392">
            <v>4</v>
          </cell>
        </row>
        <row r="393">
          <cell r="B393" t="str">
            <v>Joelho de PVC 45º - Ø 100mm</v>
          </cell>
          <cell r="C393">
            <v>10</v>
          </cell>
        </row>
        <row r="394">
          <cell r="B394" t="str">
            <v>Joelho de PVC 45º - Ø 75mm</v>
          </cell>
          <cell r="C394">
            <v>2</v>
          </cell>
        </row>
        <row r="395">
          <cell r="B395" t="str">
            <v>Joelho de PVC 45º - Ø 50mm</v>
          </cell>
          <cell r="C395">
            <v>2</v>
          </cell>
        </row>
        <row r="396">
          <cell r="B396" t="str">
            <v>Junção de PVC - Ø 75mm x 50mm</v>
          </cell>
          <cell r="C396">
            <v>2</v>
          </cell>
        </row>
        <row r="397">
          <cell r="B397" t="str">
            <v>Junção de PVC - Ø 50mm</v>
          </cell>
          <cell r="C397">
            <v>5</v>
          </cell>
        </row>
        <row r="398">
          <cell r="B398" t="str">
            <v>Luva de PVC - Ø 100mm</v>
          </cell>
          <cell r="C398">
            <v>3</v>
          </cell>
        </row>
        <row r="399">
          <cell r="B399" t="str">
            <v>Luva de PVC - Ø 75mm</v>
          </cell>
          <cell r="C399">
            <v>1</v>
          </cell>
        </row>
        <row r="400">
          <cell r="B400" t="str">
            <v>Luva de PVC - Ø 50mm</v>
          </cell>
          <cell r="C400">
            <v>1</v>
          </cell>
        </row>
        <row r="401">
          <cell r="B401" t="str">
            <v>Caixa Sifonada de PVC - Ø 100 x 100 x 40cm</v>
          </cell>
          <cell r="C401">
            <v>11</v>
          </cell>
        </row>
        <row r="402">
          <cell r="B402" t="str">
            <v>Anel de Borracha - Ø 100mm</v>
          </cell>
          <cell r="C402">
            <v>30</v>
          </cell>
        </row>
        <row r="403">
          <cell r="B403" t="str">
            <v>Anel de Borracha - Ø 75mm</v>
          </cell>
          <cell r="C403">
            <v>7</v>
          </cell>
        </row>
        <row r="404">
          <cell r="B404" t="str">
            <v>Anel de Borracha - Ø 50mm</v>
          </cell>
          <cell r="C404">
            <v>19</v>
          </cell>
        </row>
        <row r="405">
          <cell r="B405" t="str">
            <v>Lixa</v>
          </cell>
          <cell r="C405">
            <v>12</v>
          </cell>
        </row>
        <row r="406">
          <cell r="B406" t="str">
            <v>Pasta Lubrificante - frasco c/ 400g</v>
          </cell>
          <cell r="C406">
            <v>1</v>
          </cell>
        </row>
        <row r="407">
          <cell r="B407" t="str">
            <v>Adesivo Plastico - frasco c/ 175g</v>
          </cell>
          <cell r="C407">
            <v>3</v>
          </cell>
        </row>
        <row r="410">
          <cell r="B410" t="str">
            <v>- Água Fria</v>
          </cell>
        </row>
        <row r="411">
          <cell r="B411" t="str">
            <v>Tubo de PVC - Ø 40mm</v>
          </cell>
          <cell r="C411">
            <v>22.22</v>
          </cell>
        </row>
        <row r="412">
          <cell r="B412" t="str">
            <v>Tubo de PVC - Ø 32mm</v>
          </cell>
          <cell r="C412">
            <v>36.6</v>
          </cell>
        </row>
        <row r="413">
          <cell r="B413" t="str">
            <v>Tubo de PVC - Ø 25mm</v>
          </cell>
          <cell r="C413">
            <v>88.7</v>
          </cell>
        </row>
        <row r="414">
          <cell r="B414" t="str">
            <v>Joelho de PVC 90º - Ø 40mm</v>
          </cell>
          <cell r="C414">
            <v>6</v>
          </cell>
        </row>
        <row r="415">
          <cell r="B415" t="str">
            <v>Joelho de PVC 90º - Ø 32mm</v>
          </cell>
          <cell r="C415">
            <v>20</v>
          </cell>
        </row>
        <row r="416">
          <cell r="B416" t="str">
            <v>Joelho de PVC 90º - Ø 25mm</v>
          </cell>
          <cell r="C416">
            <v>55</v>
          </cell>
        </row>
        <row r="417">
          <cell r="B417" t="str">
            <v>Joelho de PVC 90º - Ø 25mm x 1/2" - Azul</v>
          </cell>
          <cell r="C417">
            <v>32</v>
          </cell>
        </row>
        <row r="418">
          <cell r="B418" t="str">
            <v>Joelho de PVC 90º - Ø 25mm x 3/4" - Azul</v>
          </cell>
          <cell r="C418">
            <v>3</v>
          </cell>
        </row>
        <row r="419">
          <cell r="B419" t="str">
            <v>Te de PVC - Ø 40mm x 32mm</v>
          </cell>
          <cell r="C419">
            <v>6</v>
          </cell>
        </row>
        <row r="420">
          <cell r="B420" t="str">
            <v>Te de PVC - Ø 32mm</v>
          </cell>
          <cell r="C420">
            <v>4</v>
          </cell>
        </row>
        <row r="421">
          <cell r="B421" t="str">
            <v>Te de PVC - Ø 25mm</v>
          </cell>
          <cell r="C421">
            <v>39</v>
          </cell>
        </row>
        <row r="422">
          <cell r="B422" t="str">
            <v>Bucha de Redução - Ø 40mm x 32mm</v>
          </cell>
          <cell r="C422">
            <v>2</v>
          </cell>
        </row>
        <row r="423">
          <cell r="B423" t="str">
            <v>Adaptador p/ registro de Ø 25mm x 3/4"</v>
          </cell>
          <cell r="C423">
            <v>42</v>
          </cell>
        </row>
        <row r="424">
          <cell r="B424" t="str">
            <v>Luva c/ rosca de Ø 25mm x 3/4"</v>
          </cell>
          <cell r="C424">
            <v>10</v>
          </cell>
        </row>
        <row r="425">
          <cell r="B425" t="str">
            <v>Registro de Gaveta Ø 3/4"</v>
          </cell>
          <cell r="C425">
            <v>16</v>
          </cell>
        </row>
        <row r="426">
          <cell r="B426" t="str">
            <v>Registro de Pressão Ø 3/4"</v>
          </cell>
          <cell r="C426">
            <v>10</v>
          </cell>
        </row>
        <row r="427">
          <cell r="B427" t="str">
            <v>Lixa</v>
          </cell>
          <cell r="C427">
            <v>9</v>
          </cell>
        </row>
        <row r="428">
          <cell r="B428" t="str">
            <v>Adesivo Plastico - frasco c/ 175g</v>
          </cell>
          <cell r="C428">
            <v>5</v>
          </cell>
        </row>
        <row r="431">
          <cell r="B431" t="str">
            <v>- Água Quente</v>
          </cell>
        </row>
        <row r="432">
          <cell r="B432" t="str">
            <v>Tubo de Cobre - Ø 22mm</v>
          </cell>
          <cell r="C432">
            <v>120.20000000000002</v>
          </cell>
        </row>
        <row r="433">
          <cell r="B433" t="str">
            <v>Cotovelo de Cobre 90º - Ø 22mm</v>
          </cell>
          <cell r="C433">
            <v>96</v>
          </cell>
        </row>
        <row r="434">
          <cell r="B434" t="str">
            <v>Cotovelo de Cobre 90º c/ rosca - Ø 22mm x 1/2"</v>
          </cell>
          <cell r="C434">
            <v>20</v>
          </cell>
        </row>
        <row r="435">
          <cell r="B435" t="str">
            <v>Conector de Cobre B/P - Ø 22mm x 1/2"</v>
          </cell>
          <cell r="C435">
            <v>30</v>
          </cell>
        </row>
        <row r="436">
          <cell r="B436" t="str">
            <v>Conector de Cobre B/B - Ø 22mm x 1/2"</v>
          </cell>
          <cell r="C436">
            <v>10</v>
          </cell>
        </row>
        <row r="437">
          <cell r="B437" t="str">
            <v>Registro de Gaveta Ø 1/2"</v>
          </cell>
          <cell r="C437">
            <v>10</v>
          </cell>
        </row>
        <row r="438">
          <cell r="B438" t="str">
            <v>Registro de Pressão Ø 1/2"</v>
          </cell>
          <cell r="C438">
            <v>10</v>
          </cell>
        </row>
        <row r="439">
          <cell r="B439" t="str">
            <v>Te Misturador Ø 1/2"</v>
          </cell>
          <cell r="C439">
            <v>10</v>
          </cell>
        </row>
        <row r="440">
          <cell r="B440" t="str">
            <v>Te de Cobre Ø 22mm</v>
          </cell>
          <cell r="C440">
            <v>8</v>
          </cell>
        </row>
        <row r="441">
          <cell r="B441" t="str">
            <v>Lixa</v>
          </cell>
          <cell r="C441">
            <v>13</v>
          </cell>
        </row>
        <row r="442">
          <cell r="B442" t="str">
            <v>Pasta p/ solda</v>
          </cell>
          <cell r="C442">
            <v>2</v>
          </cell>
        </row>
        <row r="443">
          <cell r="B443" t="str">
            <v>Estanho p/ solda</v>
          </cell>
          <cell r="C443">
            <v>10</v>
          </cell>
        </row>
        <row r="451">
          <cell r="B451" t="str">
            <v>Descrição</v>
          </cell>
          <cell r="C451" t="str">
            <v>Quant.</v>
          </cell>
        </row>
        <row r="452">
          <cell r="B452" t="str">
            <v>- Esgoto</v>
          </cell>
        </row>
        <row r="453">
          <cell r="B453" t="str">
            <v>Tubo de PVC - Ø 100mm</v>
          </cell>
          <cell r="C453">
            <v>58.3</v>
          </cell>
        </row>
        <row r="454">
          <cell r="B454" t="str">
            <v>Tubo de PVC - Ø 75mm</v>
          </cell>
          <cell r="C454">
            <v>36.6</v>
          </cell>
        </row>
        <row r="455">
          <cell r="B455" t="str">
            <v>Tubo de PVC - Ø 50mm</v>
          </cell>
          <cell r="C455">
            <v>26.6</v>
          </cell>
        </row>
        <row r="456">
          <cell r="B456" t="str">
            <v>Tubo de PVC - Ø 40mm</v>
          </cell>
          <cell r="C456">
            <v>5.6</v>
          </cell>
        </row>
        <row r="457">
          <cell r="B457" t="str">
            <v>Joelho de PVC 90º - Ø 100mm</v>
          </cell>
          <cell r="C457">
            <v>22</v>
          </cell>
        </row>
        <row r="458">
          <cell r="B458" t="str">
            <v>Joelho de PVC 90º - Ø 75mm</v>
          </cell>
          <cell r="C458">
            <v>20</v>
          </cell>
        </row>
        <row r="459">
          <cell r="B459" t="str">
            <v>Joelho de PVC 90º - Ø 50mm</v>
          </cell>
          <cell r="C459">
            <v>21</v>
          </cell>
        </row>
        <row r="460">
          <cell r="B460" t="str">
            <v>Joelho de PVC 90º - Ø 40mm</v>
          </cell>
          <cell r="C460">
            <v>6</v>
          </cell>
        </row>
        <row r="461">
          <cell r="B461" t="str">
            <v>Joelho de PVC 45º - Ø 100mm</v>
          </cell>
          <cell r="C461">
            <v>14</v>
          </cell>
        </row>
        <row r="462">
          <cell r="B462" t="str">
            <v>Joelho de PVC 45º - Ø 75mm</v>
          </cell>
          <cell r="C462">
            <v>6</v>
          </cell>
        </row>
        <row r="463">
          <cell r="B463" t="str">
            <v>Joelho de PVC 45º - Ø 50mm</v>
          </cell>
          <cell r="C463">
            <v>12</v>
          </cell>
        </row>
        <row r="464">
          <cell r="B464" t="str">
            <v>Joelho de PVC 45º - Ø 40mm</v>
          </cell>
          <cell r="C464">
            <v>4</v>
          </cell>
        </row>
        <row r="465">
          <cell r="B465" t="str">
            <v>Junção de PVC - Ø 100mm x 50mm</v>
          </cell>
          <cell r="C465">
            <v>4</v>
          </cell>
        </row>
        <row r="466">
          <cell r="B466" t="str">
            <v>Junção de PVC - Ø 75mm x 50mm</v>
          </cell>
          <cell r="C466">
            <v>6</v>
          </cell>
        </row>
        <row r="467">
          <cell r="B467" t="str">
            <v>Junção de PVC - Ø 50mm</v>
          </cell>
          <cell r="C467">
            <v>8</v>
          </cell>
        </row>
        <row r="468">
          <cell r="B468" t="str">
            <v>Te de Redução de PVC - Ø 75mm x 50mm x 75mm</v>
          </cell>
          <cell r="C468">
            <v>2</v>
          </cell>
        </row>
        <row r="469">
          <cell r="B469" t="str">
            <v>Te de PVC - Ø 100mm</v>
          </cell>
          <cell r="C469">
            <v>2</v>
          </cell>
        </row>
        <row r="470">
          <cell r="B470" t="str">
            <v>Te de PVC - Ø 75mm</v>
          </cell>
          <cell r="C470">
            <v>2</v>
          </cell>
        </row>
        <row r="471">
          <cell r="B471" t="str">
            <v>Luva de PVC - Ø 100mm</v>
          </cell>
          <cell r="C471">
            <v>2</v>
          </cell>
        </row>
        <row r="472">
          <cell r="B472" t="str">
            <v>Luva de PVC - Ø 75mm</v>
          </cell>
          <cell r="C472">
            <v>2</v>
          </cell>
        </row>
        <row r="473">
          <cell r="B473" t="str">
            <v>Luva de PVC - Ø 50mm</v>
          </cell>
          <cell r="C473">
            <v>1</v>
          </cell>
        </row>
        <row r="474">
          <cell r="B474" t="str">
            <v>Caixa Sifonada de PVC - Ø 150 x 150 x 50cm</v>
          </cell>
          <cell r="C474">
            <v>2</v>
          </cell>
        </row>
        <row r="475">
          <cell r="B475" t="str">
            <v>Caixa Sifonada de PVC - Ø 150 x 185 x 75cm</v>
          </cell>
          <cell r="C475">
            <v>2</v>
          </cell>
        </row>
        <row r="476">
          <cell r="B476" t="str">
            <v>Anel de Borracha - Ø 100mm</v>
          </cell>
          <cell r="C476">
            <v>42</v>
          </cell>
        </row>
        <row r="477">
          <cell r="B477" t="str">
            <v>Anel de Borracha - Ø 75mm</v>
          </cell>
          <cell r="C477">
            <v>22</v>
          </cell>
        </row>
        <row r="478">
          <cell r="B478" t="str">
            <v>Anel de Borracha - Ø 50mm</v>
          </cell>
          <cell r="C478">
            <v>45</v>
          </cell>
        </row>
        <row r="479">
          <cell r="B479" t="str">
            <v>Lixa</v>
          </cell>
          <cell r="C479">
            <v>11</v>
          </cell>
        </row>
        <row r="480">
          <cell r="B480" t="str">
            <v>Pasta Lubrificante - frasco c/ 400g</v>
          </cell>
          <cell r="C480">
            <v>2</v>
          </cell>
        </row>
        <row r="481">
          <cell r="B481" t="str">
            <v>Adesivo Plastico - frasco c/ 175g</v>
          </cell>
          <cell r="C481">
            <v>6</v>
          </cell>
        </row>
        <row r="484">
          <cell r="B484" t="str">
            <v>- Água Pluvial</v>
          </cell>
        </row>
        <row r="485">
          <cell r="B485" t="str">
            <v>Tubo de PVC - Ø 100mm</v>
          </cell>
          <cell r="C485">
            <v>64.5</v>
          </cell>
        </row>
        <row r="486">
          <cell r="B486" t="str">
            <v>Tubo de PVC - Ø 50mm</v>
          </cell>
          <cell r="C486">
            <v>8</v>
          </cell>
        </row>
        <row r="487">
          <cell r="B487" t="str">
            <v>Tubo de PVC - Ø 40mm</v>
          </cell>
          <cell r="C487">
            <v>3.6</v>
          </cell>
        </row>
        <row r="488">
          <cell r="B488" t="str">
            <v>Joelho de PVC 90º - Ø 100mm</v>
          </cell>
          <cell r="C488">
            <v>18</v>
          </cell>
        </row>
        <row r="489">
          <cell r="B489" t="str">
            <v>Joelho de PVC 90º - Ø 50mm</v>
          </cell>
          <cell r="C489">
            <v>4</v>
          </cell>
        </row>
        <row r="490">
          <cell r="B490" t="str">
            <v>Joelho de PVC 45º - Ø 100mm</v>
          </cell>
          <cell r="C490">
            <v>8</v>
          </cell>
        </row>
        <row r="491">
          <cell r="B491" t="str">
            <v>Joelho de PVC 45º - Ø 50mm</v>
          </cell>
          <cell r="C491">
            <v>2</v>
          </cell>
        </row>
        <row r="492">
          <cell r="B492" t="str">
            <v>Junção de PVC - Ø 100mm x 40mm</v>
          </cell>
          <cell r="C492">
            <v>2</v>
          </cell>
        </row>
        <row r="493">
          <cell r="B493" t="str">
            <v>Luva de PVC - Ø 100mm</v>
          </cell>
          <cell r="C493">
            <v>2</v>
          </cell>
        </row>
        <row r="494">
          <cell r="B494" t="str">
            <v>Luva de PVC - Ø 50mm</v>
          </cell>
          <cell r="C494">
            <v>1</v>
          </cell>
        </row>
        <row r="495">
          <cell r="B495" t="str">
            <v>Caixa Sifonada de PVC - Ø 100 x 100 x 40cm</v>
          </cell>
          <cell r="C495">
            <v>11</v>
          </cell>
        </row>
        <row r="496">
          <cell r="B496" t="str">
            <v>Anel de Borracha - Ø 100mm</v>
          </cell>
          <cell r="C496">
            <v>28</v>
          </cell>
        </row>
        <row r="497">
          <cell r="B497" t="str">
            <v>Anel de Borracha - Ø 50mm</v>
          </cell>
          <cell r="C497">
            <v>9</v>
          </cell>
        </row>
        <row r="498">
          <cell r="B498" t="str">
            <v>Lixa</v>
          </cell>
          <cell r="C498">
            <v>6</v>
          </cell>
        </row>
        <row r="499">
          <cell r="B499" t="str">
            <v>Pasta Lubrificante - frasco c/ 400g</v>
          </cell>
          <cell r="C499">
            <v>1</v>
          </cell>
        </row>
        <row r="500">
          <cell r="B500" t="str">
            <v>Adesivo Plastico - frasco c/ 175g</v>
          </cell>
          <cell r="C500">
            <v>2</v>
          </cell>
        </row>
        <row r="503">
          <cell r="B503" t="str">
            <v>- Água Fria</v>
          </cell>
        </row>
        <row r="504">
          <cell r="B504" t="str">
            <v>Tubo de PVC - Ø 50mm</v>
          </cell>
          <cell r="C504">
            <v>12.6</v>
          </cell>
        </row>
        <row r="505">
          <cell r="B505" t="str">
            <v>Tubo de PVC - Ø 32mm</v>
          </cell>
          <cell r="C505">
            <v>16.600000000000001</v>
          </cell>
        </row>
        <row r="506">
          <cell r="B506" t="str">
            <v>Tubo de PVC - Ø 25mm</v>
          </cell>
          <cell r="C506">
            <v>52.6</v>
          </cell>
        </row>
        <row r="507">
          <cell r="B507" t="str">
            <v>Joelho de PVC 90º - Ø 50mm</v>
          </cell>
          <cell r="C507">
            <v>12</v>
          </cell>
        </row>
        <row r="508">
          <cell r="B508" t="str">
            <v>Joelho de PVC 90º - Ø 32mm</v>
          </cell>
          <cell r="C508">
            <v>10</v>
          </cell>
        </row>
        <row r="509">
          <cell r="B509" t="str">
            <v>Joelho de PVC 90º - Ø 25mm</v>
          </cell>
          <cell r="C509">
            <v>42</v>
          </cell>
        </row>
        <row r="510">
          <cell r="B510" t="str">
            <v>Joelho de PVC 90º - Ø 25mm x 1/2" - Azul</v>
          </cell>
          <cell r="C510">
            <v>16</v>
          </cell>
        </row>
        <row r="511">
          <cell r="B511" t="str">
            <v>Joelho de PVC 90º - Ø 25mm x 3/4" - Azul</v>
          </cell>
          <cell r="C511">
            <v>2</v>
          </cell>
        </row>
        <row r="512">
          <cell r="B512" t="str">
            <v>Te de PVC - Ø 32mm</v>
          </cell>
          <cell r="C512">
            <v>6</v>
          </cell>
        </row>
        <row r="513">
          <cell r="B513" t="str">
            <v>Te de PVC - Ø 25mm</v>
          </cell>
          <cell r="C513">
            <v>8</v>
          </cell>
        </row>
        <row r="514">
          <cell r="B514" t="str">
            <v>Bucha de Redução - Ø 32mm x 25mm</v>
          </cell>
          <cell r="C514">
            <v>6</v>
          </cell>
        </row>
        <row r="515">
          <cell r="B515" t="str">
            <v>Adaptador p/ registro de Ø 25mm x 3/4"</v>
          </cell>
          <cell r="C515">
            <v>24</v>
          </cell>
        </row>
        <row r="516">
          <cell r="B516" t="str">
            <v>Registro de Gaveta Ø 3/4"</v>
          </cell>
          <cell r="C516">
            <v>12</v>
          </cell>
        </row>
        <row r="517">
          <cell r="B517" t="str">
            <v>Lixa</v>
          </cell>
          <cell r="C517">
            <v>9</v>
          </cell>
        </row>
        <row r="518">
          <cell r="B518" t="str">
            <v>Adesivo Plastico - frasco c/ 175g</v>
          </cell>
          <cell r="C518">
            <v>5</v>
          </cell>
        </row>
        <row r="521">
          <cell r="B521" t="str">
            <v>- Água Quente</v>
          </cell>
        </row>
        <row r="522">
          <cell r="B522" t="str">
            <v>Tubo de Cobre - Ø 22mm</v>
          </cell>
          <cell r="C522">
            <v>34</v>
          </cell>
        </row>
        <row r="523">
          <cell r="B523" t="str">
            <v>Cotovelo de Cobre 90º - Ø 22mm</v>
          </cell>
          <cell r="C523">
            <v>14</v>
          </cell>
        </row>
        <row r="524">
          <cell r="B524" t="str">
            <v>Cotovelo de Cobre 90º c/ rosca - Ø 22mm x 1/2"</v>
          </cell>
          <cell r="C524">
            <v>6</v>
          </cell>
        </row>
        <row r="525">
          <cell r="B525" t="str">
            <v>Conector de Cobre B/P - Ø 22mm x 1/2"</v>
          </cell>
          <cell r="C525">
            <v>4</v>
          </cell>
        </row>
        <row r="526">
          <cell r="B526" t="str">
            <v>Conector de Cobre B/B - Ø 22mm x 1/2"</v>
          </cell>
          <cell r="C526">
            <v>2</v>
          </cell>
        </row>
        <row r="527">
          <cell r="B527" t="str">
            <v>Registro de Gaveta Ø 1/2"</v>
          </cell>
          <cell r="C527">
            <v>4</v>
          </cell>
        </row>
        <row r="528">
          <cell r="B528" t="str">
            <v>Registro de Pressão Ø 1/2"</v>
          </cell>
          <cell r="C528">
            <v>2</v>
          </cell>
        </row>
        <row r="529">
          <cell r="B529" t="str">
            <v>Te Misturador Ø 1/2"</v>
          </cell>
          <cell r="C529">
            <v>2</v>
          </cell>
        </row>
        <row r="530">
          <cell r="B530" t="str">
            <v>Te de Cobre Ø 22mm</v>
          </cell>
          <cell r="C530">
            <v>2</v>
          </cell>
        </row>
        <row r="531">
          <cell r="B531" t="str">
            <v>Lixa</v>
          </cell>
          <cell r="C531">
            <v>4</v>
          </cell>
        </row>
        <row r="532">
          <cell r="B532" t="str">
            <v>Pasta p/ solda</v>
          </cell>
          <cell r="C532">
            <v>1</v>
          </cell>
        </row>
        <row r="533">
          <cell r="B533" t="str">
            <v>Estanho p/ solda</v>
          </cell>
          <cell r="C533">
            <v>2</v>
          </cell>
        </row>
        <row r="541">
          <cell r="B541" t="str">
            <v>Descrição</v>
          </cell>
          <cell r="C541" t="str">
            <v>Quant.</v>
          </cell>
        </row>
        <row r="542">
          <cell r="B542" t="str">
            <v>- Esgoto</v>
          </cell>
        </row>
        <row r="543">
          <cell r="B543" t="str">
            <v>Tubo de PVC - Ø 100mm</v>
          </cell>
          <cell r="C543">
            <v>72.3</v>
          </cell>
        </row>
        <row r="544">
          <cell r="B544" t="str">
            <v>Tubo de PVC - Ø 75mm</v>
          </cell>
          <cell r="C544">
            <v>29.4</v>
          </cell>
        </row>
        <row r="545">
          <cell r="B545" t="str">
            <v>Tubo de PVC - Ø 50mm</v>
          </cell>
          <cell r="C545">
            <v>33.800000000000004</v>
          </cell>
        </row>
        <row r="546">
          <cell r="B546" t="str">
            <v>Tubo de PVC - Ø 40mm</v>
          </cell>
          <cell r="C546">
            <v>21.4</v>
          </cell>
        </row>
        <row r="547">
          <cell r="B547" t="str">
            <v>Joelho de PVC 90º - Ø 100mm</v>
          </cell>
          <cell r="C547">
            <v>22</v>
          </cell>
        </row>
        <row r="548">
          <cell r="B548" t="str">
            <v>Joelho de PVC 90º - Ø 75mm</v>
          </cell>
          <cell r="C548">
            <v>19</v>
          </cell>
        </row>
        <row r="549">
          <cell r="B549" t="str">
            <v>Joelho de PVC 90º - Ø 50mm</v>
          </cell>
          <cell r="C549">
            <v>6</v>
          </cell>
        </row>
        <row r="550">
          <cell r="B550" t="str">
            <v>Joelho de PVC 90º - Ø 40mm</v>
          </cell>
          <cell r="C550">
            <v>6</v>
          </cell>
        </row>
        <row r="551">
          <cell r="B551" t="str">
            <v>Joelho de PVC 45º - Ø 100mm</v>
          </cell>
          <cell r="C551">
            <v>14</v>
          </cell>
        </row>
        <row r="552">
          <cell r="B552" t="str">
            <v>Joelho de PVC 45º - Ø 75mm</v>
          </cell>
          <cell r="C552">
            <v>8</v>
          </cell>
        </row>
        <row r="553">
          <cell r="B553" t="str">
            <v>Joelho de PVC 45º - Ø 50mm</v>
          </cell>
          <cell r="C553">
            <v>16</v>
          </cell>
        </row>
        <row r="554">
          <cell r="B554" t="str">
            <v>Joelho de PVC 45º - Ø 40mm</v>
          </cell>
          <cell r="C554">
            <v>10</v>
          </cell>
        </row>
        <row r="555">
          <cell r="B555" t="str">
            <v>Junção de PVC - Ø 100mm x 50mm</v>
          </cell>
          <cell r="C555">
            <v>6</v>
          </cell>
        </row>
        <row r="556">
          <cell r="B556" t="str">
            <v>Junção de PVC - Ø 100mm x 75mm</v>
          </cell>
          <cell r="C556">
            <v>2</v>
          </cell>
        </row>
        <row r="557">
          <cell r="B557" t="str">
            <v>Junção de PVC - Ø 75mm x 50mm</v>
          </cell>
          <cell r="C557">
            <v>2</v>
          </cell>
        </row>
        <row r="558">
          <cell r="B558" t="str">
            <v>Junção de PVC - Ø 75mm</v>
          </cell>
          <cell r="C558">
            <v>2</v>
          </cell>
        </row>
        <row r="559">
          <cell r="B559" t="str">
            <v>Junção de PVC - Ø 40mm</v>
          </cell>
          <cell r="C559">
            <v>2</v>
          </cell>
        </row>
        <row r="560">
          <cell r="B560" t="str">
            <v>Te de Redução de PVC - Ø 75mm x 50mm x 75mm</v>
          </cell>
          <cell r="C560">
            <v>2</v>
          </cell>
        </row>
        <row r="561">
          <cell r="B561" t="str">
            <v>Te de PVC - Ø 75mm</v>
          </cell>
          <cell r="C561">
            <v>3</v>
          </cell>
        </row>
        <row r="562">
          <cell r="B562" t="str">
            <v>Te de PVC - Ø 50mm</v>
          </cell>
          <cell r="C562">
            <v>2</v>
          </cell>
        </row>
        <row r="563">
          <cell r="B563" t="str">
            <v>Luva de PVC - Ø 100mm</v>
          </cell>
          <cell r="C563">
            <v>3</v>
          </cell>
        </row>
        <row r="564">
          <cell r="B564" t="str">
            <v>Luva de PVC - Ø 75mm</v>
          </cell>
          <cell r="C564">
            <v>1</v>
          </cell>
        </row>
        <row r="565">
          <cell r="B565" t="str">
            <v>Luva de PVC - Ø 50mm</v>
          </cell>
          <cell r="C565">
            <v>2</v>
          </cell>
        </row>
        <row r="566">
          <cell r="B566" t="str">
            <v>Caixa Sifonada de PVC - Ø 100 x 100 x 40cm</v>
          </cell>
          <cell r="C566">
            <v>2</v>
          </cell>
        </row>
        <row r="567">
          <cell r="B567" t="str">
            <v>Caixa Sifonada de PVC - Ø 150 x 150 x 50cm</v>
          </cell>
          <cell r="C567">
            <v>4</v>
          </cell>
        </row>
        <row r="568">
          <cell r="B568" t="str">
            <v>Caixa Sifonada de PVC - Ø 150 x 185 x 75cm</v>
          </cell>
          <cell r="C568">
            <v>2</v>
          </cell>
        </row>
        <row r="569">
          <cell r="B569" t="str">
            <v>Anel de Borracha - Ø 100mm</v>
          </cell>
          <cell r="C569">
            <v>47</v>
          </cell>
        </row>
        <row r="570">
          <cell r="B570" t="str">
            <v>Anel de Borracha - Ø 75mm</v>
          </cell>
          <cell r="C570">
            <v>21</v>
          </cell>
        </row>
        <row r="571">
          <cell r="B571" t="str">
            <v>Anel de Borracha - Ø 50mm</v>
          </cell>
          <cell r="C571">
            <v>34</v>
          </cell>
        </row>
        <row r="572">
          <cell r="B572" t="str">
            <v>Lixa</v>
          </cell>
          <cell r="C572">
            <v>11</v>
          </cell>
        </row>
        <row r="573">
          <cell r="B573" t="str">
            <v>Pasta Lubrificante - frasco c/ 400g</v>
          </cell>
          <cell r="C573">
            <v>2</v>
          </cell>
        </row>
        <row r="574">
          <cell r="B574" t="str">
            <v>Adesivo Plastico - frasco c/ 175g</v>
          </cell>
          <cell r="C574">
            <v>6</v>
          </cell>
        </row>
        <row r="577">
          <cell r="B577" t="str">
            <v>- Água Pluvial</v>
          </cell>
        </row>
        <row r="578">
          <cell r="B578" t="str">
            <v>Tubo de PVC - Ø 100mm</v>
          </cell>
          <cell r="C578">
            <v>43.3</v>
          </cell>
        </row>
        <row r="579">
          <cell r="B579" t="str">
            <v>Tubo de PVC - Ø 50mm</v>
          </cell>
          <cell r="C579">
            <v>4.8</v>
          </cell>
        </row>
        <row r="580">
          <cell r="B580" t="str">
            <v>Joelho de PVC 90º - Ø 100mm</v>
          </cell>
          <cell r="C580">
            <v>10</v>
          </cell>
        </row>
        <row r="581">
          <cell r="B581" t="str">
            <v>Joelho de PVC 90º - Ø 50mm</v>
          </cell>
          <cell r="C581">
            <v>4</v>
          </cell>
        </row>
        <row r="582">
          <cell r="B582" t="str">
            <v>Joelho de PVC 45º - Ø 100mm</v>
          </cell>
          <cell r="C582">
            <v>14</v>
          </cell>
        </row>
        <row r="583">
          <cell r="B583" t="str">
            <v>Joelho de PVC 45º - Ø 50mm</v>
          </cell>
          <cell r="C583">
            <v>4</v>
          </cell>
        </row>
        <row r="584">
          <cell r="B584" t="str">
            <v>Luva de PVC - Ø 100mm</v>
          </cell>
          <cell r="C584">
            <v>2</v>
          </cell>
        </row>
        <row r="585">
          <cell r="B585" t="str">
            <v>Luva de PVC - Ø 50mm</v>
          </cell>
          <cell r="C585">
            <v>1</v>
          </cell>
        </row>
        <row r="586">
          <cell r="B586" t="str">
            <v>Caixa Sifonada de PVC - Ø 100 x 100 x 40cm</v>
          </cell>
          <cell r="C586">
            <v>2</v>
          </cell>
        </row>
        <row r="587">
          <cell r="B587" t="str">
            <v>Anel de Borracha - Ø 100mm</v>
          </cell>
          <cell r="C587">
            <v>26</v>
          </cell>
        </row>
        <row r="588">
          <cell r="B588" t="str">
            <v>Anel de Borracha - Ø 50mm</v>
          </cell>
          <cell r="C588">
            <v>9</v>
          </cell>
        </row>
        <row r="589">
          <cell r="B589" t="str">
            <v>Lixa</v>
          </cell>
          <cell r="C589">
            <v>5</v>
          </cell>
        </row>
        <row r="590">
          <cell r="B590" t="str">
            <v>Pasta Lubrificante - frasco c/ 400g</v>
          </cell>
          <cell r="C590">
            <v>1</v>
          </cell>
        </row>
        <row r="591">
          <cell r="B591" t="str">
            <v>Adesivo Plastico - frasco c/ 175g</v>
          </cell>
          <cell r="C591">
            <v>2</v>
          </cell>
        </row>
        <row r="594">
          <cell r="B594" t="str">
            <v>- Água Fria</v>
          </cell>
        </row>
        <row r="595">
          <cell r="B595" t="str">
            <v>Tubo de PVC - Ø 25mm</v>
          </cell>
          <cell r="C595">
            <v>38.4</v>
          </cell>
        </row>
        <row r="596">
          <cell r="B596" t="str">
            <v>Joelho de PVC 90º - Ø 25mm</v>
          </cell>
          <cell r="C596">
            <v>18</v>
          </cell>
        </row>
        <row r="597">
          <cell r="B597" t="str">
            <v>Joelho de PVC 90º - Ø 25mm x 1/2" - Azul</v>
          </cell>
          <cell r="C597">
            <v>12</v>
          </cell>
        </row>
        <row r="598">
          <cell r="B598" t="str">
            <v>Te de PVC - Ø 25mm</v>
          </cell>
          <cell r="C598">
            <v>10</v>
          </cell>
        </row>
        <row r="599">
          <cell r="B599" t="str">
            <v>Adaptador p/ registro de Ø 25mm x 3/4"</v>
          </cell>
          <cell r="C599">
            <v>17</v>
          </cell>
        </row>
        <row r="600">
          <cell r="B600" t="str">
            <v>Luva c/ rosca de Ø 25mm x 3/4"</v>
          </cell>
          <cell r="C600">
            <v>5</v>
          </cell>
        </row>
        <row r="601">
          <cell r="B601" t="str">
            <v>Registro de Gaveta Ø 3/4"</v>
          </cell>
          <cell r="C601">
            <v>6</v>
          </cell>
        </row>
        <row r="602">
          <cell r="B602" t="str">
            <v>Registro de Pressão Ø 3/4"</v>
          </cell>
          <cell r="C602">
            <v>5</v>
          </cell>
        </row>
        <row r="603">
          <cell r="B603" t="str">
            <v>Lixa</v>
          </cell>
          <cell r="C603">
            <v>9</v>
          </cell>
        </row>
        <row r="604">
          <cell r="B604" t="str">
            <v>Adesivo Plastico - frasco c/ 175g</v>
          </cell>
          <cell r="C604">
            <v>5</v>
          </cell>
        </row>
        <row r="607">
          <cell r="B607" t="str">
            <v>- Água Quente</v>
          </cell>
        </row>
        <row r="608">
          <cell r="B608" t="str">
            <v>Tubo de Cobre - Ø 22mm</v>
          </cell>
          <cell r="C608">
            <v>45.15</v>
          </cell>
        </row>
        <row r="609">
          <cell r="B609" t="str">
            <v>Cotovelo de Cobre 90º - Ø 22mm</v>
          </cell>
          <cell r="C609">
            <v>48</v>
          </cell>
        </row>
        <row r="610">
          <cell r="B610" t="str">
            <v>Cotovelo de Cobre 90º c/ rosca - Ø 22mm x 1/2"</v>
          </cell>
          <cell r="C610">
            <v>20</v>
          </cell>
        </row>
        <row r="611">
          <cell r="B611" t="str">
            <v>Conector de Cobre B/P - Ø 22mm x 1/2"</v>
          </cell>
          <cell r="C611">
            <v>17</v>
          </cell>
        </row>
        <row r="612">
          <cell r="B612" t="str">
            <v>Conector de Cobre B/B - Ø 22mm x 1/2"</v>
          </cell>
          <cell r="C612">
            <v>5</v>
          </cell>
        </row>
        <row r="613">
          <cell r="B613" t="str">
            <v>Registro de Gaveta Ø 1/2"</v>
          </cell>
          <cell r="C613">
            <v>6</v>
          </cell>
        </row>
        <row r="614">
          <cell r="B614" t="str">
            <v>Registro de Pressão Ø 1/2"</v>
          </cell>
          <cell r="C614">
            <v>5</v>
          </cell>
        </row>
        <row r="615">
          <cell r="B615" t="str">
            <v>Te Misturador Ø 1/2"</v>
          </cell>
          <cell r="C615">
            <v>12</v>
          </cell>
        </row>
        <row r="616">
          <cell r="B616" t="str">
            <v>Te de Cobre Ø 22mm</v>
          </cell>
          <cell r="C616">
            <v>8</v>
          </cell>
        </row>
        <row r="617">
          <cell r="B617" t="str">
            <v>Lixa</v>
          </cell>
          <cell r="C617">
            <v>5</v>
          </cell>
        </row>
        <row r="618">
          <cell r="B618" t="str">
            <v>Pasta p/ solda</v>
          </cell>
          <cell r="C618">
            <v>1</v>
          </cell>
        </row>
        <row r="619">
          <cell r="B619" t="str">
            <v>Estanho p/ solda</v>
          </cell>
          <cell r="C619">
            <v>3</v>
          </cell>
        </row>
        <row r="627">
          <cell r="B627" t="str">
            <v>- Água Fria</v>
          </cell>
        </row>
        <row r="628">
          <cell r="B628" t="str">
            <v>Tubo de PVC - Ø 50mm</v>
          </cell>
          <cell r="C628">
            <v>8.5</v>
          </cell>
        </row>
        <row r="629">
          <cell r="B629" t="str">
            <v>Tubo de PVC - Ø 40mm</v>
          </cell>
          <cell r="C629">
            <v>7</v>
          </cell>
        </row>
        <row r="630">
          <cell r="B630" t="str">
            <v>Tubo de PVC - Ø 32mm</v>
          </cell>
          <cell r="C630">
            <v>6</v>
          </cell>
        </row>
        <row r="631">
          <cell r="B631" t="str">
            <v>Tubo de PVC - Ø 25mm</v>
          </cell>
          <cell r="C631">
            <v>7.5</v>
          </cell>
        </row>
        <row r="632">
          <cell r="B632" t="str">
            <v>Joelho de PVC 90º - Ø 50mm</v>
          </cell>
          <cell r="C632">
            <v>6</v>
          </cell>
        </row>
        <row r="633">
          <cell r="B633" t="str">
            <v>Joelho de PVC 90º - Ø 40mm</v>
          </cell>
          <cell r="C633">
            <v>4</v>
          </cell>
        </row>
        <row r="634">
          <cell r="B634" t="str">
            <v>Joelho de PVC 90º - Ø 32mm</v>
          </cell>
          <cell r="C634">
            <v>3</v>
          </cell>
        </row>
        <row r="635">
          <cell r="B635" t="str">
            <v>Joelho de PVC 90º - Ø 25mm</v>
          </cell>
          <cell r="C635">
            <v>5</v>
          </cell>
        </row>
        <row r="636">
          <cell r="B636" t="str">
            <v>Joelho de PVC 45º - Ø 50mm</v>
          </cell>
          <cell r="C636">
            <v>1</v>
          </cell>
        </row>
        <row r="637">
          <cell r="B637" t="str">
            <v>Joelho de PVC 45º - Ø 40mm</v>
          </cell>
          <cell r="C637">
            <v>2</v>
          </cell>
        </row>
        <row r="638">
          <cell r="B638" t="str">
            <v>Joelho de PVC 45º - Ø 32mm</v>
          </cell>
          <cell r="C638">
            <v>1</v>
          </cell>
        </row>
        <row r="639">
          <cell r="B639" t="str">
            <v>Joelho de PVC 45º - Ø 25mm</v>
          </cell>
          <cell r="C639">
            <v>2</v>
          </cell>
        </row>
        <row r="640">
          <cell r="B640" t="str">
            <v>Te de PVC - Ø 50mm</v>
          </cell>
          <cell r="C640">
            <v>2</v>
          </cell>
        </row>
        <row r="641">
          <cell r="B641" t="str">
            <v>Te de PVC - Ø 40mm</v>
          </cell>
          <cell r="C641">
            <v>1</v>
          </cell>
        </row>
        <row r="642">
          <cell r="B642" t="str">
            <v>Te de PVC - Ø 32mm</v>
          </cell>
          <cell r="C642">
            <v>1</v>
          </cell>
        </row>
        <row r="643">
          <cell r="B643" t="str">
            <v>Te de PVC - Ø 25mm</v>
          </cell>
          <cell r="C643">
            <v>1</v>
          </cell>
        </row>
        <row r="644">
          <cell r="B644" t="str">
            <v>Adaptador p/ registro de Ø 50mm x 1.1/2"</v>
          </cell>
          <cell r="C644">
            <v>12</v>
          </cell>
        </row>
        <row r="645">
          <cell r="B645" t="str">
            <v>Adaptador p/ registro de Ø 40mm x 1.1/4"</v>
          </cell>
          <cell r="C645">
            <v>14</v>
          </cell>
        </row>
        <row r="646">
          <cell r="B646" t="str">
            <v>Adaptador p/ registro de Ø 25mm x 3/4"</v>
          </cell>
          <cell r="C646">
            <v>16</v>
          </cell>
        </row>
        <row r="647">
          <cell r="B647" t="str">
            <v>Registro de Gaveta Ø 1.1/2"</v>
          </cell>
          <cell r="C647">
            <v>6</v>
          </cell>
        </row>
        <row r="648">
          <cell r="B648" t="str">
            <v>Registro de Gaveta Ø 1.1/4"</v>
          </cell>
          <cell r="C648">
            <v>7</v>
          </cell>
        </row>
        <row r="649">
          <cell r="B649" t="str">
            <v>Registro de Gaveta Ø 3/4"</v>
          </cell>
          <cell r="C649">
            <v>8</v>
          </cell>
        </row>
        <row r="650">
          <cell r="B650" t="str">
            <v>Flange de PVC Ø 50mm, p/ Cx. D'água</v>
          </cell>
          <cell r="C650">
            <v>2</v>
          </cell>
        </row>
        <row r="651">
          <cell r="B651" t="str">
            <v>Flange de PVC Ø 40mm, p/ Cx. D'água</v>
          </cell>
          <cell r="C651">
            <v>2</v>
          </cell>
        </row>
        <row r="652">
          <cell r="B652" t="str">
            <v>Flange de PVC Ø 32mm, p/ Cx. D'água</v>
          </cell>
          <cell r="C652">
            <v>2</v>
          </cell>
        </row>
        <row r="653">
          <cell r="B653" t="str">
            <v>Flange de PVC Ø 25mm, p/ Cx. D'água</v>
          </cell>
          <cell r="C653">
            <v>2</v>
          </cell>
        </row>
        <row r="654">
          <cell r="B654" t="str">
            <v>Lixa</v>
          </cell>
          <cell r="C654">
            <v>9</v>
          </cell>
        </row>
        <row r="655">
          <cell r="B655" t="str">
            <v>Adesivo Plastico - frasco c/ 175g</v>
          </cell>
          <cell r="C655">
            <v>5</v>
          </cell>
        </row>
        <row r="658">
          <cell r="B658" t="str">
            <v>- Água Quente</v>
          </cell>
        </row>
        <row r="659">
          <cell r="B659" t="str">
            <v>Tubo de Cobre - Ø 35mm</v>
          </cell>
          <cell r="C659">
            <v>76.8</v>
          </cell>
        </row>
        <row r="660">
          <cell r="B660" t="str">
            <v>Tubo de Cobre - Ø 22mm</v>
          </cell>
          <cell r="C660">
            <v>4.5999999999999996</v>
          </cell>
        </row>
        <row r="661">
          <cell r="B661" t="str">
            <v>Cotovelo de Cobre 90º - Ø 35mm</v>
          </cell>
          <cell r="C661">
            <v>23</v>
          </cell>
        </row>
        <row r="662">
          <cell r="B662" t="str">
            <v>Cotovelo de Cobre 90º - Ø 22mm</v>
          </cell>
          <cell r="C662">
            <v>2</v>
          </cell>
        </row>
        <row r="663">
          <cell r="B663" t="str">
            <v>Conector de Cobre B/P - Ø 35mm x 1.1/4"</v>
          </cell>
          <cell r="C663">
            <v>10</v>
          </cell>
        </row>
        <row r="664">
          <cell r="B664" t="str">
            <v>Conector de Cobre B/B - Ø 22mm x 3/4"</v>
          </cell>
          <cell r="C664">
            <v>4</v>
          </cell>
        </row>
        <row r="665">
          <cell r="B665" t="str">
            <v>Registro de Gaveta Ø 1.1/4"</v>
          </cell>
          <cell r="C665">
            <v>5</v>
          </cell>
        </row>
        <row r="666">
          <cell r="B666" t="str">
            <v>Registro de Gaveta Ø 3/4"</v>
          </cell>
          <cell r="C666">
            <v>2</v>
          </cell>
        </row>
        <row r="667">
          <cell r="B667" t="str">
            <v>Te de Cobre Ø 35mm</v>
          </cell>
          <cell r="C667">
            <v>5</v>
          </cell>
        </row>
        <row r="668">
          <cell r="B668" t="str">
            <v>Te de redução de Cobre Ø 35mm x 22mm</v>
          </cell>
          <cell r="C668">
            <v>1</v>
          </cell>
        </row>
        <row r="669">
          <cell r="B669" t="str">
            <v>Te de Cobre Ø 22mm</v>
          </cell>
          <cell r="C669">
            <v>1</v>
          </cell>
        </row>
        <row r="670">
          <cell r="B670" t="str">
            <v>Lixa</v>
          </cell>
          <cell r="C670">
            <v>1</v>
          </cell>
        </row>
        <row r="671">
          <cell r="B671" t="str">
            <v>Pasta p/ solda</v>
          </cell>
          <cell r="C671">
            <v>1</v>
          </cell>
        </row>
        <row r="672">
          <cell r="B672" t="str">
            <v>Estanho p/ solda</v>
          </cell>
          <cell r="C672">
            <v>1</v>
          </cell>
        </row>
        <row r="675">
          <cell r="B675" t="str">
            <v>- Equipamentos</v>
          </cell>
        </row>
        <row r="676">
          <cell r="B676" t="str">
            <v>Central de Aquecimento de Água Cap.:300 Litros, Pot.: 30.000 kcal/h</v>
          </cell>
          <cell r="C676">
            <v>2</v>
          </cell>
        </row>
        <row r="677">
          <cell r="B677" t="str">
            <v>Bomba de Circulação Grundfos, Mod. UPS-25-82(3), motor monofásico (110V), vazão 2,0 m³/h, Hman= 6 m.c.a., Pot.: 240W</v>
          </cell>
          <cell r="C677">
            <v>1</v>
          </cell>
        </row>
        <row r="678">
          <cell r="B678" t="str">
            <v>Automatico de Maximo e Minimo</v>
          </cell>
          <cell r="C678">
            <v>2</v>
          </cell>
        </row>
        <row r="686">
          <cell r="B686" t="str">
            <v>- Água Pluvial</v>
          </cell>
        </row>
        <row r="687">
          <cell r="B687" t="str">
            <v>Tubo de PVC - Ø 100mm</v>
          </cell>
          <cell r="C687">
            <v>28.1</v>
          </cell>
        </row>
        <row r="688">
          <cell r="B688" t="str">
            <v>Tubo de PVC - Ø 75mm</v>
          </cell>
          <cell r="C688">
            <v>2.6</v>
          </cell>
        </row>
        <row r="689">
          <cell r="B689" t="str">
            <v>Joelho de PVC 90º - Ø 100mm</v>
          </cell>
          <cell r="C689">
            <v>14</v>
          </cell>
        </row>
        <row r="690">
          <cell r="B690" t="str">
            <v>Joelho de PVC 90º - Ø 75mm</v>
          </cell>
          <cell r="C690">
            <v>8</v>
          </cell>
        </row>
        <row r="691">
          <cell r="B691" t="str">
            <v>Luva de PVC - Ø 100mm</v>
          </cell>
          <cell r="C691">
            <v>1</v>
          </cell>
        </row>
        <row r="692">
          <cell r="B692" t="str">
            <v>Luva de PVC - Ø 75mm</v>
          </cell>
          <cell r="C692">
            <v>1</v>
          </cell>
        </row>
        <row r="693">
          <cell r="B693" t="str">
            <v>Anel de Borracha - Ø 100mm</v>
          </cell>
          <cell r="C693">
            <v>15</v>
          </cell>
        </row>
        <row r="694">
          <cell r="B694" t="str">
            <v>Anel de Borracha - Ø 75mm</v>
          </cell>
          <cell r="C694">
            <v>9</v>
          </cell>
        </row>
        <row r="695">
          <cell r="B695" t="str">
            <v>Lixa</v>
          </cell>
          <cell r="C695">
            <v>4</v>
          </cell>
        </row>
        <row r="696">
          <cell r="B696" t="str">
            <v>Pasta Lubrificante - frasco c/ 400g</v>
          </cell>
          <cell r="C696">
            <v>1</v>
          </cell>
        </row>
        <row r="697">
          <cell r="B697" t="str">
            <v>Adesivo Plastico - frasco c/ 175g</v>
          </cell>
          <cell r="C697">
            <v>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CAMENTO"/>
      <sheetName val="codigo-rev"/>
      <sheetName val="ESQ"/>
      <sheetName val="louçMetais"/>
      <sheetName val="Fachada"/>
      <sheetName val="Alvenaria"/>
      <sheetName val="REVGB"/>
      <sheetName val="OrçFIN"/>
    </sheetNames>
    <sheetDataSet>
      <sheetData sheetId="0"/>
      <sheetData sheetId="1"/>
      <sheetData sheetId="2"/>
      <sheetData sheetId="3">
        <row r="33">
          <cell r="C33">
            <v>93930.749999999985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CC99"/>
        </a:solidFill>
        <a:ln w="6350" cap="flat" cmpd="sng" algn="ctr">
          <a:solidFill>
            <a:srgbClr val="008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CC99"/>
        </a:solidFill>
        <a:ln w="6350" cap="flat" cmpd="sng" algn="ctr">
          <a:solidFill>
            <a:srgbClr val="008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37"/>
  <sheetViews>
    <sheetView showGridLines="0" zoomScale="85" workbookViewId="0">
      <pane xSplit="9" ySplit="4" topLeftCell="J5" activePane="bottomRight" state="frozen"/>
      <selection pane="topRight" activeCell="K1" sqref="K1"/>
      <selection pane="bottomLeft" activeCell="A7" sqref="A7"/>
      <selection pane="bottomRight" activeCell="P3" sqref="P3:Q3"/>
    </sheetView>
  </sheetViews>
  <sheetFormatPr defaultRowHeight="12.75" zeroHeight="1"/>
  <cols>
    <col min="1" max="1" width="3.28515625" style="291" customWidth="1"/>
    <col min="2" max="2" width="6.42578125" style="112" customWidth="1"/>
    <col min="3" max="3" width="56.42578125" style="44" customWidth="1"/>
    <col min="4" max="4" width="9.7109375" style="14" customWidth="1"/>
    <col min="5" max="5" width="3.85546875" style="14" customWidth="1"/>
    <col min="6" max="6" width="13.28515625" style="398" customWidth="1"/>
    <col min="7" max="7" width="14.140625" style="57" customWidth="1"/>
    <col min="8" max="8" width="12" style="328" customWidth="1"/>
    <col min="9" max="9" width="15.85546875" style="57" customWidth="1"/>
    <col min="10" max="10" width="1.28515625" style="113" customWidth="1"/>
    <col min="11" max="11" width="8.42578125" style="113" customWidth="1"/>
    <col min="12" max="12" width="10.140625" style="113" customWidth="1"/>
    <col min="13" max="13" width="16.42578125" style="113" customWidth="1"/>
    <col min="14" max="14" width="8.42578125" style="113" customWidth="1"/>
    <col min="15" max="15" width="0.85546875" style="113" customWidth="1"/>
    <col min="16" max="16" width="7.42578125" style="276" customWidth="1"/>
    <col min="17" max="17" width="7.7109375" style="274" customWidth="1"/>
    <col min="18" max="18" width="7.42578125" style="276" hidden="1" customWidth="1"/>
    <col min="19" max="19" width="7.5703125" style="290" hidden="1" customWidth="1"/>
    <col min="20" max="20" width="7.42578125" style="276" hidden="1" customWidth="1"/>
    <col min="21" max="21" width="8" style="274" hidden="1" customWidth="1"/>
    <col min="22" max="22" width="7.42578125" style="276" hidden="1" customWidth="1"/>
    <col min="23" max="23" width="8" style="290" hidden="1" customWidth="1"/>
    <col min="24" max="24" width="7.42578125" style="276" hidden="1" customWidth="1"/>
    <col min="25" max="25" width="8" style="290" hidden="1" customWidth="1"/>
    <col min="26" max="16384" width="9.140625" style="2"/>
  </cols>
  <sheetData>
    <row r="1" spans="1:25" ht="14.25" customHeight="1">
      <c r="B1" s="539" t="s">
        <v>1083</v>
      </c>
      <c r="C1" s="540"/>
      <c r="D1" s="540"/>
      <c r="E1" s="540"/>
      <c r="F1" s="540"/>
      <c r="G1" s="540"/>
      <c r="H1" s="540"/>
      <c r="I1" s="540"/>
      <c r="J1" s="4"/>
      <c r="K1" s="4"/>
      <c r="L1" s="4"/>
      <c r="M1" s="4"/>
      <c r="N1" s="4"/>
      <c r="O1" s="78"/>
      <c r="P1" s="570" t="s">
        <v>422</v>
      </c>
      <c r="Q1" s="571"/>
      <c r="R1" s="527" t="s">
        <v>423</v>
      </c>
      <c r="S1" s="528"/>
      <c r="T1" s="527" t="s">
        <v>423</v>
      </c>
      <c r="U1" s="528"/>
      <c r="V1" s="527" t="s">
        <v>423</v>
      </c>
      <c r="W1" s="528"/>
      <c r="X1" s="527" t="s">
        <v>423</v>
      </c>
      <c r="Y1" s="528"/>
    </row>
    <row r="2" spans="1:25" ht="12.75" customHeight="1">
      <c r="B2" s="541" t="s">
        <v>1249</v>
      </c>
      <c r="C2" s="542"/>
      <c r="D2" s="542"/>
      <c r="E2" s="542"/>
      <c r="F2" s="542"/>
      <c r="G2" s="542"/>
      <c r="H2" s="542"/>
      <c r="I2" s="542"/>
      <c r="J2" s="4"/>
      <c r="K2" s="4"/>
      <c r="L2" s="4"/>
      <c r="M2" s="4"/>
      <c r="N2" s="4"/>
      <c r="O2" s="78"/>
      <c r="P2" s="572">
        <f>+P5+P14+P19+P31+P40+P43+P51+P59+P78+P94+P102+P110+P117+P122+P140+P155+P159+P166+P172+P181+P222+P299+P304+P510</f>
        <v>9.8880257366979779E-2</v>
      </c>
      <c r="Q2" s="573"/>
      <c r="R2" s="529">
        <f>+R5+R14+R19+R31+R40+R43+R51+R59+R78+R94+R102+R110+R117+R122+R140+R155+R159+R166+R172+R181+R222+R299+R304+R510</f>
        <v>0.15483126961706467</v>
      </c>
      <c r="S2" s="530"/>
      <c r="T2" s="529">
        <f>+T5+T14+T19+T31+T40+T43+T51+T59+T78+T94+T102+T110+T117+T122+T140+T155+T159+T166+T172+T181+T222+T299+T304+T510</f>
        <v>0.43392323186941567</v>
      </c>
      <c r="U2" s="530"/>
      <c r="V2" s="529">
        <f>+V5+V14+V19+V31+V40+V43+V51+V59+V78+V94+V102+V110+V117+V122+V140+V155+V159+V166+V172+V181+V222+V299+V304+V510</f>
        <v>0.67690576456197382</v>
      </c>
      <c r="W2" s="530"/>
      <c r="X2" s="529">
        <f>+X5+X14+X19+X31+X40+X43+X51+X59+X78+X94+X102+X110+X117+X122+X140+X155+X159+X166+X172+X181+X222+X299+X304+X510</f>
        <v>0.67690576456197382</v>
      </c>
      <c r="Y2" s="530"/>
    </row>
    <row r="3" spans="1:25" ht="14.25" customHeight="1" thickBot="1">
      <c r="B3" s="81" t="s">
        <v>1250</v>
      </c>
      <c r="C3" s="82"/>
      <c r="D3" s="349">
        <v>920.81</v>
      </c>
      <c r="E3" s="83"/>
      <c r="F3" s="389"/>
      <c r="G3" s="303"/>
      <c r="H3" s="304"/>
      <c r="I3" s="84"/>
      <c r="J3" s="4"/>
      <c r="K3" s="4"/>
      <c r="L3" s="4"/>
      <c r="M3" s="4"/>
      <c r="N3" s="4"/>
      <c r="O3" s="78"/>
      <c r="P3" s="574">
        <v>38958</v>
      </c>
      <c r="Q3" s="575"/>
      <c r="R3" s="531">
        <v>38967</v>
      </c>
      <c r="S3" s="532"/>
      <c r="T3" s="531">
        <v>38997</v>
      </c>
      <c r="U3" s="532"/>
      <c r="V3" s="531">
        <v>39028</v>
      </c>
      <c r="W3" s="532"/>
      <c r="X3" s="531">
        <v>39058</v>
      </c>
      <c r="Y3" s="532"/>
    </row>
    <row r="4" spans="1:25" s="7" customFormat="1" ht="13.5" thickBot="1">
      <c r="A4" s="292"/>
      <c r="B4" s="108" t="s">
        <v>1251</v>
      </c>
      <c r="C4" s="109" t="s">
        <v>1252</v>
      </c>
      <c r="D4" s="110" t="s">
        <v>1253</v>
      </c>
      <c r="E4" s="335" t="s">
        <v>1254</v>
      </c>
      <c r="F4" s="390" t="s">
        <v>847</v>
      </c>
      <c r="G4" s="369" t="s">
        <v>845</v>
      </c>
      <c r="H4" s="305" t="s">
        <v>1255</v>
      </c>
      <c r="I4" s="111" t="s">
        <v>1256</v>
      </c>
      <c r="J4" s="37"/>
      <c r="K4" s="31" t="s">
        <v>573</v>
      </c>
      <c r="L4" s="32" t="s">
        <v>575</v>
      </c>
      <c r="M4" s="32" t="s">
        <v>574</v>
      </c>
      <c r="N4" s="72" t="s">
        <v>364</v>
      </c>
      <c r="O4" s="37"/>
      <c r="P4" s="533" t="s">
        <v>576</v>
      </c>
      <c r="Q4" s="534"/>
      <c r="R4" s="533" t="s">
        <v>576</v>
      </c>
      <c r="S4" s="534"/>
      <c r="T4" s="533" t="s">
        <v>576</v>
      </c>
      <c r="U4" s="534"/>
      <c r="V4" s="533" t="s">
        <v>576</v>
      </c>
      <c r="W4" s="534"/>
      <c r="X4" s="533" t="s">
        <v>576</v>
      </c>
      <c r="Y4" s="534"/>
    </row>
    <row r="5" spans="1:25" s="6" customFormat="1" ht="15.75">
      <c r="A5" s="291" t="s">
        <v>70</v>
      </c>
      <c r="B5" s="33" t="s">
        <v>1257</v>
      </c>
      <c r="C5" s="139" t="s">
        <v>1258</v>
      </c>
      <c r="D5" s="34"/>
      <c r="E5" s="34"/>
      <c r="F5" s="391">
        <f>+G5/D$3</f>
        <v>3.176685402114976</v>
      </c>
      <c r="G5" s="370">
        <f>SUM(G6:G13)</f>
        <v>2925.1236851214908</v>
      </c>
      <c r="H5" s="306"/>
      <c r="I5" s="51">
        <f>SUM(I6:I13)</f>
        <v>15210.196199999998</v>
      </c>
      <c r="J5" s="38"/>
      <c r="K5" s="562" t="str">
        <f>+C5</f>
        <v>Preliminares</v>
      </c>
      <c r="L5" s="563"/>
      <c r="M5" s="67">
        <f>+PRE/$I$514</f>
        <v>1.516394411270902E-2</v>
      </c>
      <c r="N5" s="73"/>
      <c r="O5" s="38"/>
      <c r="P5" s="283">
        <f>SUMPRODUCT( P6:P13,$M$6:$M$13)</f>
        <v>1.516394411270902E-2</v>
      </c>
      <c r="Q5" s="512">
        <f>+P5/$M$5</f>
        <v>1</v>
      </c>
      <c r="R5" s="283">
        <f>SUMPRODUCT( R6:R13,$M$6:$M$13)</f>
        <v>1.516394411270902E-2</v>
      </c>
      <c r="S5" s="512">
        <f>+R5/$M$5</f>
        <v>1</v>
      </c>
      <c r="T5" s="256">
        <f>SUMPRODUCT( T6:T13,$M$6:$M$13)</f>
        <v>1.516394411270902E-2</v>
      </c>
      <c r="U5" s="523">
        <f>+T5/$M$5</f>
        <v>1</v>
      </c>
      <c r="V5" s="283">
        <f>SUMPRODUCT( V6:V13,$M$6:$M$13)</f>
        <v>1.516394411270902E-2</v>
      </c>
      <c r="W5" s="512">
        <f>+V5/$M$5</f>
        <v>1</v>
      </c>
      <c r="X5" s="283">
        <f>SUMPRODUCT( X6:X13,$M$6:$M$13)</f>
        <v>1.516394411270902E-2</v>
      </c>
      <c r="Y5" s="512">
        <f>+X5/$M$5</f>
        <v>1</v>
      </c>
    </row>
    <row r="6" spans="1:25" ht="12" customHeight="1">
      <c r="B6" s="85" t="s">
        <v>1259</v>
      </c>
      <c r="C6" s="94" t="s">
        <v>1260</v>
      </c>
      <c r="D6" s="95">
        <v>1</v>
      </c>
      <c r="E6" s="354" t="s">
        <v>1261</v>
      </c>
      <c r="F6" s="338">
        <f>+G6/D6</f>
        <v>296.70441184362954</v>
      </c>
      <c r="G6" s="371">
        <f>I528*M6</f>
        <v>296.70441184362954</v>
      </c>
      <c r="H6" s="307">
        <v>1216.92</v>
      </c>
      <c r="I6" s="57">
        <f t="shared" ref="I6:I13" si="0">$D6*$H6</f>
        <v>1216.92</v>
      </c>
      <c r="J6" s="39"/>
      <c r="K6" s="23">
        <f t="shared" ref="K6:K13" si="1">+I6/$I$5</f>
        <v>8.0006857505230622E-2</v>
      </c>
      <c r="L6" s="25">
        <f>+K6</f>
        <v>8.0006857505230622E-2</v>
      </c>
      <c r="M6" s="26">
        <f>+I6/$I$514</f>
        <v>1.2132195158427912E-3</v>
      </c>
      <c r="N6" s="74">
        <f>+M6</f>
        <v>1.2132195158427912E-3</v>
      </c>
      <c r="O6" s="39"/>
      <c r="P6" s="257">
        <v>1</v>
      </c>
      <c r="Q6" s="510"/>
      <c r="R6" s="257">
        <v>1</v>
      </c>
      <c r="S6" s="510"/>
      <c r="T6" s="243">
        <v>1</v>
      </c>
      <c r="U6" s="521"/>
      <c r="V6" s="257">
        <v>1</v>
      </c>
      <c r="W6" s="510"/>
      <c r="X6" s="257">
        <v>1</v>
      </c>
      <c r="Y6" s="510"/>
    </row>
    <row r="7" spans="1:25" ht="12" customHeight="1">
      <c r="B7" s="86" t="s">
        <v>1262</v>
      </c>
      <c r="C7" s="96" t="s">
        <v>1263</v>
      </c>
      <c r="D7" s="97">
        <v>1</v>
      </c>
      <c r="E7" s="350" t="s">
        <v>1264</v>
      </c>
      <c r="F7" s="339">
        <f t="shared" ref="F7:F70" si="2">+G7/D7</f>
        <v>322.2685060994595</v>
      </c>
      <c r="G7" s="372">
        <f>I528*M7</f>
        <v>322.2685060994595</v>
      </c>
      <c r="H7" s="308">
        <v>1321.77</v>
      </c>
      <c r="I7" s="89">
        <f t="shared" si="0"/>
        <v>1321.77</v>
      </c>
      <c r="J7" s="39"/>
      <c r="K7" s="62">
        <f t="shared" si="1"/>
        <v>8.6900259708681482E-2</v>
      </c>
      <c r="L7" s="63">
        <f>+K7+L6</f>
        <v>0.1669071172139121</v>
      </c>
      <c r="M7" s="64">
        <f t="shared" ref="M7:M13" si="3">+I7/$I$514</f>
        <v>1.3177506816023454E-3</v>
      </c>
      <c r="N7" s="75">
        <f>+M7+N6</f>
        <v>2.5309701974451366E-3</v>
      </c>
      <c r="O7" s="39"/>
      <c r="P7" s="258">
        <v>1</v>
      </c>
      <c r="Q7" s="510"/>
      <c r="R7" s="258">
        <v>1</v>
      </c>
      <c r="S7" s="510"/>
      <c r="T7" s="244">
        <v>1</v>
      </c>
      <c r="U7" s="521"/>
      <c r="V7" s="258">
        <v>1</v>
      </c>
      <c r="W7" s="510"/>
      <c r="X7" s="258">
        <v>1</v>
      </c>
      <c r="Y7" s="510"/>
    </row>
    <row r="8" spans="1:25">
      <c r="B8" s="86" t="s">
        <v>1265</v>
      </c>
      <c r="C8" s="96" t="s">
        <v>1266</v>
      </c>
      <c r="D8" s="97">
        <v>40</v>
      </c>
      <c r="E8" s="350" t="s">
        <v>1267</v>
      </c>
      <c r="F8" s="339">
        <f t="shared" si="2"/>
        <v>23.330740861615315</v>
      </c>
      <c r="G8" s="372">
        <f>I528*M8</f>
        <v>933.22963446461256</v>
      </c>
      <c r="H8" s="308">
        <v>95.69</v>
      </c>
      <c r="I8" s="89">
        <f t="shared" si="0"/>
        <v>3827.6</v>
      </c>
      <c r="J8" s="39"/>
      <c r="K8" s="62">
        <f t="shared" si="1"/>
        <v>0.25164698401457836</v>
      </c>
      <c r="L8" s="63">
        <f t="shared" ref="L8:L13" si="4">+K8+L7</f>
        <v>0.41855410122849046</v>
      </c>
      <c r="M8" s="64">
        <f t="shared" si="3"/>
        <v>3.8159608017288463E-3</v>
      </c>
      <c r="N8" s="75">
        <f t="shared" ref="N8:N13" si="5">+M8+N7</f>
        <v>6.3469309991739829E-3</v>
      </c>
      <c r="O8" s="39"/>
      <c r="P8" s="258">
        <v>1</v>
      </c>
      <c r="Q8" s="510"/>
      <c r="R8" s="258">
        <v>1</v>
      </c>
      <c r="S8" s="510"/>
      <c r="T8" s="244">
        <v>1</v>
      </c>
      <c r="U8" s="521"/>
      <c r="V8" s="258">
        <v>1</v>
      </c>
      <c r="W8" s="510"/>
      <c r="X8" s="258">
        <v>1</v>
      </c>
      <c r="Y8" s="510"/>
    </row>
    <row r="9" spans="1:25" ht="12" customHeight="1">
      <c r="B9" s="86" t="s">
        <v>1268</v>
      </c>
      <c r="C9" s="96" t="s">
        <v>1269</v>
      </c>
      <c r="D9" s="97">
        <v>1</v>
      </c>
      <c r="E9" s="350" t="s">
        <v>1270</v>
      </c>
      <c r="F9" s="339">
        <f t="shared" si="2"/>
        <v>168.86199713593413</v>
      </c>
      <c r="G9" s="372">
        <f>I528*M9</f>
        <v>168.86199713593413</v>
      </c>
      <c r="H9" s="308">
        <v>692.58</v>
      </c>
      <c r="I9" s="89">
        <f t="shared" si="0"/>
        <v>692.58</v>
      </c>
      <c r="J9" s="39"/>
      <c r="K9" s="62">
        <f t="shared" si="1"/>
        <v>4.553392940453984E-2</v>
      </c>
      <c r="L9" s="63">
        <f t="shared" si="4"/>
        <v>0.46408803063303028</v>
      </c>
      <c r="M9" s="64">
        <f t="shared" si="3"/>
        <v>6.9047396072248002E-4</v>
      </c>
      <c r="N9" s="75">
        <f t="shared" si="5"/>
        <v>7.0374049598964632E-3</v>
      </c>
      <c r="O9" s="39"/>
      <c r="P9" s="258">
        <v>1</v>
      </c>
      <c r="Q9" s="510"/>
      <c r="R9" s="258">
        <v>1</v>
      </c>
      <c r="S9" s="510"/>
      <c r="T9" s="244">
        <v>1</v>
      </c>
      <c r="U9" s="521"/>
      <c r="V9" s="258">
        <v>1</v>
      </c>
      <c r="W9" s="510"/>
      <c r="X9" s="258">
        <v>1</v>
      </c>
      <c r="Y9" s="510"/>
    </row>
    <row r="10" spans="1:25" ht="12" customHeight="1">
      <c r="B10" s="86" t="s">
        <v>1271</v>
      </c>
      <c r="C10" s="96" t="s">
        <v>1272</v>
      </c>
      <c r="D10" s="97">
        <v>1</v>
      </c>
      <c r="E10" s="350" t="s">
        <v>1273</v>
      </c>
      <c r="F10" s="339">
        <f t="shared" si="2"/>
        <v>164.70493650587306</v>
      </c>
      <c r="G10" s="372">
        <f>I528*M10</f>
        <v>164.70493650587306</v>
      </c>
      <c r="H10" s="308">
        <v>675.53</v>
      </c>
      <c r="I10" s="89">
        <f t="shared" si="0"/>
        <v>675.53</v>
      </c>
      <c r="J10" s="39"/>
      <c r="K10" s="62">
        <f t="shared" si="1"/>
        <v>4.4412970820192313E-2</v>
      </c>
      <c r="L10" s="63">
        <f t="shared" si="4"/>
        <v>0.50850100145322263</v>
      </c>
      <c r="M10" s="64">
        <f t="shared" si="3"/>
        <v>6.734758073967728E-4</v>
      </c>
      <c r="N10" s="75">
        <f t="shared" si="5"/>
        <v>7.7108807672932357E-3</v>
      </c>
      <c r="O10" s="39"/>
      <c r="P10" s="258">
        <v>1</v>
      </c>
      <c r="Q10" s="510"/>
      <c r="R10" s="258">
        <v>1</v>
      </c>
      <c r="S10" s="510"/>
      <c r="T10" s="244">
        <v>1</v>
      </c>
      <c r="U10" s="521"/>
      <c r="V10" s="258">
        <v>1</v>
      </c>
      <c r="W10" s="510"/>
      <c r="X10" s="258">
        <v>1</v>
      </c>
      <c r="Y10" s="510"/>
    </row>
    <row r="11" spans="1:25" ht="12" customHeight="1">
      <c r="B11" s="86" t="s">
        <v>1274</v>
      </c>
      <c r="C11" s="96" t="s">
        <v>1275</v>
      </c>
      <c r="D11" s="97">
        <v>552.04999999999995</v>
      </c>
      <c r="E11" s="350" t="s">
        <v>1276</v>
      </c>
      <c r="F11" s="339">
        <f t="shared" si="2"/>
        <v>0.47300279309785459</v>
      </c>
      <c r="G11" s="372">
        <f>I528*M11*0.25</f>
        <v>261.1211919296706</v>
      </c>
      <c r="H11" s="308">
        <v>7.76</v>
      </c>
      <c r="I11" s="89">
        <f t="shared" si="0"/>
        <v>4283.9079999999994</v>
      </c>
      <c r="J11" s="39"/>
      <c r="K11" s="62">
        <f t="shared" si="1"/>
        <v>0.28164712300029371</v>
      </c>
      <c r="L11" s="63">
        <f t="shared" si="4"/>
        <v>0.79014812445351634</v>
      </c>
      <c r="M11" s="64">
        <f t="shared" si="3"/>
        <v>4.2708812326817365E-3</v>
      </c>
      <c r="N11" s="75">
        <f t="shared" si="5"/>
        <v>1.1981761999974971E-2</v>
      </c>
      <c r="O11" s="39"/>
      <c r="P11" s="258">
        <v>1</v>
      </c>
      <c r="Q11" s="510"/>
      <c r="R11" s="258">
        <v>1</v>
      </c>
      <c r="S11" s="510"/>
      <c r="T11" s="244">
        <v>1</v>
      </c>
      <c r="U11" s="521"/>
      <c r="V11" s="258">
        <v>1</v>
      </c>
      <c r="W11" s="510"/>
      <c r="X11" s="258">
        <v>1</v>
      </c>
      <c r="Y11" s="510"/>
    </row>
    <row r="12" spans="1:25" ht="12" customHeight="1">
      <c r="B12" s="86" t="s">
        <v>1277</v>
      </c>
      <c r="C12" s="96" t="s">
        <v>1278</v>
      </c>
      <c r="D12" s="97">
        <v>1</v>
      </c>
      <c r="E12" s="350" t="s">
        <v>1279</v>
      </c>
      <c r="F12" s="339">
        <f t="shared" si="2"/>
        <v>55.316945205175905</v>
      </c>
      <c r="G12" s="372">
        <f>I528*M12</f>
        <v>55.316945205175905</v>
      </c>
      <c r="H12" s="308">
        <v>226.88</v>
      </c>
      <c r="I12" s="89">
        <f t="shared" si="0"/>
        <v>226.88</v>
      </c>
      <c r="J12" s="39"/>
      <c r="K12" s="62">
        <f t="shared" si="1"/>
        <v>1.491630988954633E-2</v>
      </c>
      <c r="L12" s="63">
        <f t="shared" si="4"/>
        <v>0.80506443434306263</v>
      </c>
      <c r="M12" s="64">
        <f t="shared" si="3"/>
        <v>2.2619008953292941E-4</v>
      </c>
      <c r="N12" s="75">
        <f t="shared" si="5"/>
        <v>1.22079520895079E-2</v>
      </c>
      <c r="O12" s="39"/>
      <c r="P12" s="258">
        <v>1</v>
      </c>
      <c r="Q12" s="510"/>
      <c r="R12" s="258">
        <v>1</v>
      </c>
      <c r="S12" s="510"/>
      <c r="T12" s="244">
        <v>1</v>
      </c>
      <c r="U12" s="521"/>
      <c r="V12" s="258">
        <v>1</v>
      </c>
      <c r="W12" s="510"/>
      <c r="X12" s="258">
        <v>1</v>
      </c>
      <c r="Y12" s="510"/>
    </row>
    <row r="13" spans="1:25" ht="13.5" thickBot="1">
      <c r="B13" s="87" t="s">
        <v>1280</v>
      </c>
      <c r="C13" s="98" t="s">
        <v>1281</v>
      </c>
      <c r="D13" s="99">
        <v>920.81</v>
      </c>
      <c r="E13" s="355" t="s">
        <v>1282</v>
      </c>
      <c r="F13" s="340">
        <f t="shared" si="2"/>
        <v>0.78508711019334643</v>
      </c>
      <c r="G13" s="373">
        <f>I528*M13</f>
        <v>722.91606193713528</v>
      </c>
      <c r="H13" s="309">
        <v>3.22</v>
      </c>
      <c r="I13" s="90">
        <f t="shared" si="0"/>
        <v>2965.0082000000002</v>
      </c>
      <c r="J13" s="39"/>
      <c r="K13" s="23">
        <f t="shared" si="1"/>
        <v>0.19493556565693745</v>
      </c>
      <c r="L13" s="25">
        <f t="shared" si="4"/>
        <v>1</v>
      </c>
      <c r="M13" s="26">
        <f t="shared" si="3"/>
        <v>2.9559920232011191E-3</v>
      </c>
      <c r="N13" s="76">
        <f t="shared" si="5"/>
        <v>1.516394411270902E-2</v>
      </c>
      <c r="O13" s="79" t="s">
        <v>1082</v>
      </c>
      <c r="P13" s="257">
        <v>1</v>
      </c>
      <c r="Q13" s="513"/>
      <c r="R13" s="257">
        <v>1</v>
      </c>
      <c r="S13" s="513"/>
      <c r="T13" s="243">
        <v>1</v>
      </c>
      <c r="U13" s="524"/>
      <c r="V13" s="257">
        <v>1</v>
      </c>
      <c r="W13" s="513"/>
      <c r="X13" s="257">
        <v>1</v>
      </c>
      <c r="Y13" s="513"/>
    </row>
    <row r="14" spans="1:25" s="6" customFormat="1" ht="15.75">
      <c r="A14" s="291" t="s">
        <v>70</v>
      </c>
      <c r="B14" s="33" t="s">
        <v>1283</v>
      </c>
      <c r="C14" s="138" t="s">
        <v>1284</v>
      </c>
      <c r="D14" s="101"/>
      <c r="E14" s="356"/>
      <c r="F14" s="391">
        <f>+G14/D$3</f>
        <v>2.7756777046318284</v>
      </c>
      <c r="G14" s="370">
        <f>SUM(G15:G18)</f>
        <v>2555.8717872020338</v>
      </c>
      <c r="H14" s="310"/>
      <c r="I14" s="91">
        <f>SUM(I15:I18)</f>
        <v>10482.794899999999</v>
      </c>
      <c r="J14" s="38"/>
      <c r="K14" s="65"/>
      <c r="L14" s="66"/>
      <c r="M14" s="67">
        <f>+MOT/$I$514</f>
        <v>1.0450918181357263E-2</v>
      </c>
      <c r="N14" s="73"/>
      <c r="O14" s="38"/>
      <c r="P14" s="283">
        <f>SUMPRODUCT( P15:P18,$M$15:$M$18)</f>
        <v>8.8182287656311809E-3</v>
      </c>
      <c r="Q14" s="512">
        <f>+P14/$M$14</f>
        <v>0.84377550494668174</v>
      </c>
      <c r="R14" s="283">
        <f>SUMPRODUCT( R15:R18,$M$15:$M$18)</f>
        <v>8.9900154928018519E-3</v>
      </c>
      <c r="S14" s="512">
        <f>+R14/$M$14</f>
        <v>0.86021298194053197</v>
      </c>
      <c r="T14" s="256">
        <f>SUMPRODUCT( T15:T18,$M$15:$M$18)</f>
        <v>8.9900154928018519E-3</v>
      </c>
      <c r="U14" s="523">
        <f>+T14/$M$14</f>
        <v>0.86021298194053197</v>
      </c>
      <c r="V14" s="283">
        <f>SUMPRODUCT( V15:V18,$M$15:$M$18)</f>
        <v>1.0450918181357264E-2</v>
      </c>
      <c r="W14" s="512">
        <f>+V14/$M$14</f>
        <v>1.0000000000000002</v>
      </c>
      <c r="X14" s="283">
        <f>SUMPRODUCT( X15:X18,$M$15:$M$18)</f>
        <v>1.0450918181357264E-2</v>
      </c>
      <c r="Y14" s="512">
        <f>+X14/$M$14</f>
        <v>1.0000000000000002</v>
      </c>
    </row>
    <row r="15" spans="1:25">
      <c r="B15" s="85" t="s">
        <v>1285</v>
      </c>
      <c r="C15" s="94" t="s">
        <v>1286</v>
      </c>
      <c r="D15" s="95">
        <v>3876.78</v>
      </c>
      <c r="E15" s="354" t="s">
        <v>1287</v>
      </c>
      <c r="F15" s="338">
        <f t="shared" si="2"/>
        <v>0.18042374582083115</v>
      </c>
      <c r="G15" s="371">
        <f>I528*M15</f>
        <v>699.46316932328182</v>
      </c>
      <c r="H15" s="307">
        <v>0.74</v>
      </c>
      <c r="I15" s="57">
        <f>$D15*$H15</f>
        <v>2868.8172</v>
      </c>
      <c r="J15" s="39"/>
      <c r="K15" s="23">
        <f>+I15/$I$14</f>
        <v>0.27366911471290928</v>
      </c>
      <c r="L15" s="25">
        <f>+K15</f>
        <v>0.27366911471290928</v>
      </c>
      <c r="M15" s="26">
        <f t="shared" ref="M15:M31" si="6">+I15/$I$514</f>
        <v>2.8600935266290899E-3</v>
      </c>
      <c r="N15" s="74">
        <f>+M15</f>
        <v>2.8600935266290899E-3</v>
      </c>
      <c r="O15" s="39"/>
      <c r="P15" s="257">
        <v>0.95</v>
      </c>
      <c r="Q15" s="510"/>
      <c r="R15" s="257">
        <v>0.95</v>
      </c>
      <c r="S15" s="510"/>
      <c r="T15" s="243">
        <v>0.95</v>
      </c>
      <c r="U15" s="521"/>
      <c r="V15" s="257">
        <v>1</v>
      </c>
      <c r="W15" s="510"/>
      <c r="X15" s="257">
        <v>1</v>
      </c>
      <c r="Y15" s="510"/>
    </row>
    <row r="16" spans="1:25" ht="11.25" customHeight="1">
      <c r="B16" s="86" t="s">
        <v>1288</v>
      </c>
      <c r="C16" s="96" t="s">
        <v>1289</v>
      </c>
      <c r="D16" s="97">
        <v>990.75</v>
      </c>
      <c r="E16" s="350" t="s">
        <v>1290</v>
      </c>
      <c r="F16" s="339">
        <f t="shared" si="2"/>
        <v>0.88505161801299592</v>
      </c>
      <c r="G16" s="372">
        <f>I528*M16</f>
        <v>876.8648905463757</v>
      </c>
      <c r="H16" s="308">
        <v>3.63</v>
      </c>
      <c r="I16" s="89">
        <f>$D16*$H16</f>
        <v>3596.4224999999997</v>
      </c>
      <c r="J16" s="39"/>
      <c r="K16" s="62">
        <f>+I16/$I$14</f>
        <v>0.34307859061518031</v>
      </c>
      <c r="L16" s="63">
        <f>+K16+L15</f>
        <v>0.61674770532808965</v>
      </c>
      <c r="M16" s="64">
        <f t="shared" si="6"/>
        <v>3.5854862802946127E-3</v>
      </c>
      <c r="N16" s="75">
        <f>+M16+N15</f>
        <v>6.4455798069237031E-3</v>
      </c>
      <c r="O16" s="39"/>
      <c r="P16" s="258">
        <v>0.8</v>
      </c>
      <c r="Q16" s="510"/>
      <c r="R16" s="258">
        <v>0.8</v>
      </c>
      <c r="S16" s="510"/>
      <c r="T16" s="244">
        <v>0.8</v>
      </c>
      <c r="U16" s="521"/>
      <c r="V16" s="258">
        <v>1</v>
      </c>
      <c r="W16" s="510"/>
      <c r="X16" s="258">
        <v>1</v>
      </c>
      <c r="Y16" s="510"/>
    </row>
    <row r="17" spans="1:25">
      <c r="B17" s="86" t="s">
        <v>1291</v>
      </c>
      <c r="C17" s="96" t="s">
        <v>1292</v>
      </c>
      <c r="D17" s="97">
        <v>3876.78</v>
      </c>
      <c r="E17" s="350" t="s">
        <v>1293</v>
      </c>
      <c r="F17" s="339">
        <f t="shared" si="2"/>
        <v>0.18042374582083115</v>
      </c>
      <c r="G17" s="372">
        <f>I528*M17</f>
        <v>699.46316932328182</v>
      </c>
      <c r="H17" s="308">
        <v>0.74</v>
      </c>
      <c r="I17" s="89">
        <f>$D17*$H17</f>
        <v>2868.8172</v>
      </c>
      <c r="J17" s="39"/>
      <c r="K17" s="62">
        <f>+I17/$I$14</f>
        <v>0.27366911471290928</v>
      </c>
      <c r="L17" s="63">
        <f>+K17+L16</f>
        <v>0.89041682004099898</v>
      </c>
      <c r="M17" s="64">
        <f t="shared" si="6"/>
        <v>2.8600935266290899E-3</v>
      </c>
      <c r="N17" s="75">
        <f>+M17+N16</f>
        <v>9.3056733335527934E-3</v>
      </c>
      <c r="O17" s="39"/>
      <c r="P17" s="258">
        <v>0.85</v>
      </c>
      <c r="Q17" s="510"/>
      <c r="R17" s="258">
        <v>0.85</v>
      </c>
      <c r="S17" s="510"/>
      <c r="T17" s="244">
        <v>0.85</v>
      </c>
      <c r="U17" s="521"/>
      <c r="V17" s="258">
        <v>1</v>
      </c>
      <c r="W17" s="510"/>
      <c r="X17" s="258">
        <v>1</v>
      </c>
      <c r="Y17" s="510"/>
    </row>
    <row r="18" spans="1:25" ht="13.5" thickBot="1">
      <c r="B18" s="88" t="s">
        <v>1294</v>
      </c>
      <c r="C18" s="102" t="s">
        <v>1295</v>
      </c>
      <c r="D18" s="103">
        <v>700.45</v>
      </c>
      <c r="E18" s="357" t="s">
        <v>1296</v>
      </c>
      <c r="F18" s="338">
        <f t="shared" si="2"/>
        <v>0.39985803127859881</v>
      </c>
      <c r="G18" s="371">
        <f>I528*M18</f>
        <v>280.08055800909455</v>
      </c>
      <c r="H18" s="311">
        <v>1.64</v>
      </c>
      <c r="I18" s="57">
        <f>$D18*$H18</f>
        <v>1148.7380000000001</v>
      </c>
      <c r="J18" s="39"/>
      <c r="K18" s="24">
        <f>+I18/$I$14</f>
        <v>0.10958317995900121</v>
      </c>
      <c r="L18" s="27">
        <f>+K18+L17</f>
        <v>1.0000000000000002</v>
      </c>
      <c r="M18" s="28">
        <f t="shared" si="6"/>
        <v>1.1452448478044706E-3</v>
      </c>
      <c r="N18" s="77">
        <f>+M18+N17</f>
        <v>1.0450918181357264E-2</v>
      </c>
      <c r="O18" s="39"/>
      <c r="P18" s="269">
        <v>0.7</v>
      </c>
      <c r="Q18" s="513"/>
      <c r="R18" s="269">
        <v>0.85</v>
      </c>
      <c r="S18" s="513"/>
      <c r="T18" s="245">
        <v>0.85</v>
      </c>
      <c r="U18" s="524"/>
      <c r="V18" s="269">
        <v>1</v>
      </c>
      <c r="W18" s="513"/>
      <c r="X18" s="269">
        <v>1</v>
      </c>
      <c r="Y18" s="513"/>
    </row>
    <row r="19" spans="1:25" s="6" customFormat="1" ht="12" customHeight="1">
      <c r="A19" s="291" t="s">
        <v>70</v>
      </c>
      <c r="B19" s="33" t="s">
        <v>1297</v>
      </c>
      <c r="C19" s="138" t="s">
        <v>1298</v>
      </c>
      <c r="D19" s="101"/>
      <c r="E19" s="356"/>
      <c r="F19" s="392">
        <f>+G19/D$3</f>
        <v>9.0796956335845582</v>
      </c>
      <c r="G19" s="374">
        <f>+G20+G25</f>
        <v>8360.6745363609971</v>
      </c>
      <c r="H19" s="310"/>
      <c r="I19" s="54">
        <f>+I20+I25</f>
        <v>59174.640200000002</v>
      </c>
      <c r="J19" s="38"/>
      <c r="K19" s="562" t="str">
        <f>+C19</f>
        <v>Fundações</v>
      </c>
      <c r="L19" s="563"/>
      <c r="M19" s="68">
        <f t="shared" si="6"/>
        <v>5.8994698364407988E-2</v>
      </c>
      <c r="N19" s="73"/>
      <c r="O19" s="38"/>
      <c r="P19" s="283">
        <f>+P20+P25</f>
        <v>5.8994698364407988E-2</v>
      </c>
      <c r="Q19" s="294">
        <f>+P19/$M$19</f>
        <v>1</v>
      </c>
      <c r="R19" s="283">
        <f>+R20+R25</f>
        <v>5.8994698364407988E-2</v>
      </c>
      <c r="S19" s="294">
        <f>+R19/$M$19</f>
        <v>1</v>
      </c>
      <c r="T19" s="256">
        <f>+T20+T25</f>
        <v>5.8994698364407988E-2</v>
      </c>
      <c r="U19" s="295">
        <f>+T19/$M$19</f>
        <v>1</v>
      </c>
      <c r="V19" s="283">
        <f>+V20+V25</f>
        <v>5.8994698364407988E-2</v>
      </c>
      <c r="W19" s="294">
        <f>+V19/$M$19</f>
        <v>1</v>
      </c>
      <c r="X19" s="283">
        <f>+X20+X25</f>
        <v>5.8994698364407988E-2</v>
      </c>
      <c r="Y19" s="294">
        <f>+X19/$M$19</f>
        <v>1</v>
      </c>
    </row>
    <row r="20" spans="1:25" ht="12" customHeight="1">
      <c r="A20" s="291" t="s">
        <v>70</v>
      </c>
      <c r="B20" s="35"/>
      <c r="C20" s="104" t="s">
        <v>1035</v>
      </c>
      <c r="D20" s="105"/>
      <c r="E20" s="358"/>
      <c r="F20" s="393">
        <f>+G20/D$3</f>
        <v>0.73208998448663143</v>
      </c>
      <c r="G20" s="375">
        <f>SUM(G21:G24)</f>
        <v>674.11577861513501</v>
      </c>
      <c r="H20" s="312"/>
      <c r="I20" s="56">
        <f>SUM(I21:I24)</f>
        <v>27648.560000000001</v>
      </c>
      <c r="J20" s="39"/>
      <c r="K20" s="566" t="str">
        <f>+C20</f>
        <v>Estacas Pre-moldadas</v>
      </c>
      <c r="L20" s="567"/>
      <c r="M20" s="143">
        <f t="shared" si="6"/>
        <v>2.756448458152579E-2</v>
      </c>
      <c r="N20" s="162"/>
      <c r="O20" s="38"/>
      <c r="P20" s="277">
        <f>SUMPRODUCT( P21:P24,$M$21:$M$24)</f>
        <v>2.7564484581525786E-2</v>
      </c>
      <c r="Q20" s="535">
        <f>+P20/$M$20</f>
        <v>0.99999999999999989</v>
      </c>
      <c r="R20" s="277">
        <f>SUMPRODUCT( R21:R24,$M$21:$M$24)</f>
        <v>2.7564484581525786E-2</v>
      </c>
      <c r="S20" s="535">
        <f>+R20/$M$20</f>
        <v>0.99999999999999989</v>
      </c>
      <c r="T20" s="246">
        <f>SUMPRODUCT( T21:T24,$M$21:$M$24)</f>
        <v>2.7564484581525786E-2</v>
      </c>
      <c r="U20" s="559">
        <f>+T20/$M$20</f>
        <v>0.99999999999999989</v>
      </c>
      <c r="V20" s="277">
        <f>SUMPRODUCT( V21:V24,$M$21:$M$24)</f>
        <v>2.7564484581525786E-2</v>
      </c>
      <c r="W20" s="535">
        <f>+V20/$M$20</f>
        <v>0.99999999999999989</v>
      </c>
      <c r="X20" s="277">
        <f>SUMPRODUCT( X21:X24,$M$21:$M$24)</f>
        <v>2.7564484581525786E-2</v>
      </c>
      <c r="Y20" s="535">
        <f>+X20/$M$20</f>
        <v>0.99999999999999989</v>
      </c>
    </row>
    <row r="21" spans="1:25">
      <c r="B21" s="85" t="s">
        <v>1299</v>
      </c>
      <c r="C21" s="94" t="s">
        <v>1300</v>
      </c>
      <c r="D21" s="95">
        <v>360</v>
      </c>
      <c r="E21" s="354" t="s">
        <v>1301</v>
      </c>
      <c r="F21" s="341">
        <f t="shared" si="2"/>
        <v>0.61197784055444082</v>
      </c>
      <c r="G21" s="376">
        <f>I528*M21*0.1</f>
        <v>220.31202259959869</v>
      </c>
      <c r="H21" s="307">
        <v>25.1</v>
      </c>
      <c r="I21" s="92">
        <f>$D21*$H21</f>
        <v>9036</v>
      </c>
      <c r="J21" s="39"/>
      <c r="K21" s="23">
        <f>+I21/$I$20</f>
        <v>0.32681629712361149</v>
      </c>
      <c r="L21" s="25">
        <f>+K21</f>
        <v>0.32681629712361149</v>
      </c>
      <c r="M21" s="26">
        <f t="shared" si="6"/>
        <v>9.0085227830551395E-3</v>
      </c>
      <c r="N21" s="74">
        <f>+M21</f>
        <v>9.0085227830551395E-3</v>
      </c>
      <c r="O21" s="39"/>
      <c r="P21" s="257">
        <v>1</v>
      </c>
      <c r="Q21" s="535"/>
      <c r="R21" s="257">
        <v>1</v>
      </c>
      <c r="S21" s="535"/>
      <c r="T21" s="243">
        <v>1</v>
      </c>
      <c r="U21" s="559"/>
      <c r="V21" s="257">
        <v>1</v>
      </c>
      <c r="W21" s="535"/>
      <c r="X21" s="257">
        <v>1</v>
      </c>
      <c r="Y21" s="535"/>
    </row>
    <row r="22" spans="1:25">
      <c r="B22" s="86" t="s">
        <v>1302</v>
      </c>
      <c r="C22" s="96" t="s">
        <v>1303</v>
      </c>
      <c r="D22" s="97">
        <v>425</v>
      </c>
      <c r="E22" s="350" t="s">
        <v>1304</v>
      </c>
      <c r="F22" s="339">
        <f t="shared" si="2"/>
        <v>0.67293180873715408</v>
      </c>
      <c r="G22" s="372">
        <f>I528*M22*0.1</f>
        <v>285.99601871329048</v>
      </c>
      <c r="H22" s="308">
        <v>27.6</v>
      </c>
      <c r="I22" s="89">
        <f>$D22*$H22</f>
        <v>11730</v>
      </c>
      <c r="J22" s="39"/>
      <c r="K22" s="62">
        <f>+I22/$I$20</f>
        <v>0.42425355967905742</v>
      </c>
      <c r="L22" s="63">
        <f>+L21+K22</f>
        <v>0.75106985680266891</v>
      </c>
      <c r="M22" s="64">
        <f t="shared" si="6"/>
        <v>1.169433070443081E-2</v>
      </c>
      <c r="N22" s="75">
        <f>+N21+M22</f>
        <v>2.0702853487485948E-2</v>
      </c>
      <c r="O22" s="39"/>
      <c r="P22" s="258">
        <v>1</v>
      </c>
      <c r="Q22" s="535"/>
      <c r="R22" s="258">
        <v>1</v>
      </c>
      <c r="S22" s="535"/>
      <c r="T22" s="244">
        <v>1</v>
      </c>
      <c r="U22" s="559"/>
      <c r="V22" s="258">
        <v>1</v>
      </c>
      <c r="W22" s="535"/>
      <c r="X22" s="258">
        <v>1</v>
      </c>
      <c r="Y22" s="535"/>
    </row>
    <row r="23" spans="1:25">
      <c r="B23" s="86" t="s">
        <v>1305</v>
      </c>
      <c r="C23" s="96" t="s">
        <v>1312</v>
      </c>
      <c r="D23" s="97">
        <v>209</v>
      </c>
      <c r="E23" s="350" t="s">
        <v>1313</v>
      </c>
      <c r="F23" s="339">
        <f t="shared" si="2"/>
        <v>0.74339459595637059</v>
      </c>
      <c r="G23" s="372">
        <f>I528*M23*0.1</f>
        <v>155.36947055488145</v>
      </c>
      <c r="H23" s="308">
        <v>30.49</v>
      </c>
      <c r="I23" s="89">
        <f>$D23*$H23</f>
        <v>6372.41</v>
      </c>
      <c r="J23" s="39"/>
      <c r="K23" s="62">
        <f>+I23/$I$20</f>
        <v>0.23047891101742729</v>
      </c>
      <c r="L23" s="63">
        <f>+L22+K23</f>
        <v>0.98154876782009626</v>
      </c>
      <c r="M23" s="64">
        <f t="shared" si="6"/>
        <v>6.3530323891067293E-3</v>
      </c>
      <c r="N23" s="75">
        <f>+N22+M23</f>
        <v>2.7055885876592675E-2</v>
      </c>
      <c r="O23" s="39"/>
      <c r="P23" s="258">
        <v>1</v>
      </c>
      <c r="Q23" s="535"/>
      <c r="R23" s="258">
        <v>1</v>
      </c>
      <c r="S23" s="535"/>
      <c r="T23" s="244">
        <v>1</v>
      </c>
      <c r="U23" s="559"/>
      <c r="V23" s="258">
        <v>1</v>
      </c>
      <c r="W23" s="535"/>
      <c r="X23" s="258">
        <v>1</v>
      </c>
      <c r="Y23" s="535"/>
    </row>
    <row r="24" spans="1:25" ht="12" customHeight="1">
      <c r="B24" s="88" t="s">
        <v>1314</v>
      </c>
      <c r="C24" s="102" t="s">
        <v>1315</v>
      </c>
      <c r="D24" s="103">
        <v>15</v>
      </c>
      <c r="E24" s="357" t="s">
        <v>1316</v>
      </c>
      <c r="F24" s="339">
        <f t="shared" si="2"/>
        <v>0.82921778315763084</v>
      </c>
      <c r="G24" s="372">
        <f>I528*M24*0.1</f>
        <v>12.438266747364462</v>
      </c>
      <c r="H24" s="311">
        <v>34.01</v>
      </c>
      <c r="I24" s="57">
        <f>$D24*$H24</f>
        <v>510.15</v>
      </c>
      <c r="J24" s="39"/>
      <c r="K24" s="69">
        <f>+I24/$I$20</f>
        <v>1.8451232179903763E-2</v>
      </c>
      <c r="L24" s="70">
        <f>+L23+K24</f>
        <v>1</v>
      </c>
      <c r="M24" s="71">
        <f t="shared" si="6"/>
        <v>5.0859870493310979E-4</v>
      </c>
      <c r="N24" s="80">
        <f>+N23+M24</f>
        <v>2.7564484581525786E-2</v>
      </c>
      <c r="O24" s="39"/>
      <c r="P24" s="259">
        <v>1</v>
      </c>
      <c r="Q24" s="535"/>
      <c r="R24" s="259">
        <v>1</v>
      </c>
      <c r="S24" s="535"/>
      <c r="T24" s="247">
        <v>1</v>
      </c>
      <c r="U24" s="559"/>
      <c r="V24" s="259">
        <v>1</v>
      </c>
      <c r="W24" s="535"/>
      <c r="X24" s="259">
        <v>1</v>
      </c>
      <c r="Y24" s="535"/>
    </row>
    <row r="25" spans="1:25">
      <c r="A25" s="291" t="s">
        <v>70</v>
      </c>
      <c r="B25" s="158"/>
      <c r="C25" s="159" t="s">
        <v>1317</v>
      </c>
      <c r="D25" s="160"/>
      <c r="E25" s="359"/>
      <c r="F25" s="394">
        <f>+G25/D$3</f>
        <v>8.3476056490979289</v>
      </c>
      <c r="G25" s="377">
        <f>SUM(G26:G30)</f>
        <v>7686.5587577458627</v>
      </c>
      <c r="H25" s="313"/>
      <c r="I25" s="161">
        <f>SUM(I26:I30)</f>
        <v>31526.0802</v>
      </c>
      <c r="J25" s="39"/>
      <c r="K25" s="564" t="str">
        <f>+C25</f>
        <v>Blocos e Vigas</v>
      </c>
      <c r="L25" s="565"/>
      <c r="M25" s="143">
        <f t="shared" si="6"/>
        <v>3.1430213782882202E-2</v>
      </c>
      <c r="N25" s="162"/>
      <c r="O25" s="38"/>
      <c r="P25" s="278">
        <f>SUMPRODUCT( P26:P30,$M$26:$M$30)</f>
        <v>3.1430213782882202E-2</v>
      </c>
      <c r="Q25" s="535">
        <f>+P25/$M$25</f>
        <v>1</v>
      </c>
      <c r="R25" s="278">
        <f>SUMPRODUCT( R26:R30,$M$26:$M$30)</f>
        <v>3.1430213782882202E-2</v>
      </c>
      <c r="S25" s="535">
        <f>+R25/$M$25</f>
        <v>1</v>
      </c>
      <c r="T25" s="248">
        <f>SUMPRODUCT( T26:T30,$M$26:$M$30)</f>
        <v>3.1430213782882202E-2</v>
      </c>
      <c r="U25" s="559">
        <f>+T25/$M$25</f>
        <v>1</v>
      </c>
      <c r="V25" s="278">
        <f>SUMPRODUCT( V26:V30,$M$26:$M$30)</f>
        <v>3.1430213782882202E-2</v>
      </c>
      <c r="W25" s="535">
        <f>+V25/$M$25</f>
        <v>1</v>
      </c>
      <c r="X25" s="278">
        <f>SUMPRODUCT( X26:X30,$M$26:$M$30)</f>
        <v>3.1430213782882202E-2</v>
      </c>
      <c r="Y25" s="535">
        <f>+X25/$M$25</f>
        <v>1</v>
      </c>
    </row>
    <row r="26" spans="1:25" ht="12" customHeight="1">
      <c r="B26" s="88" t="s">
        <v>1318</v>
      </c>
      <c r="C26" s="102" t="s">
        <v>1319</v>
      </c>
      <c r="D26" s="103">
        <v>0.73</v>
      </c>
      <c r="E26" s="357" t="s">
        <v>1320</v>
      </c>
      <c r="F26" s="338">
        <f t="shared" si="2"/>
        <v>10.054966591420374</v>
      </c>
      <c r="G26" s="371">
        <f>I528*M26</f>
        <v>7.3401256117368732</v>
      </c>
      <c r="H26" s="311">
        <v>41.24</v>
      </c>
      <c r="I26" s="57">
        <f>$D26*$H26</f>
        <v>30.1052</v>
      </c>
      <c r="J26" s="39"/>
      <c r="K26" s="23">
        <f>+I26/$I$25</f>
        <v>9.5493000744190201E-4</v>
      </c>
      <c r="L26" s="25">
        <f>+K26</f>
        <v>9.5493000744190201E-4</v>
      </c>
      <c r="M26" s="26">
        <f t="shared" si="6"/>
        <v>3.0013654281588271E-5</v>
      </c>
      <c r="N26" s="74">
        <f>+M26</f>
        <v>3.0013654281588271E-5</v>
      </c>
      <c r="O26" s="39"/>
      <c r="P26" s="257">
        <v>1</v>
      </c>
      <c r="Q26" s="535"/>
      <c r="R26" s="257">
        <v>1</v>
      </c>
      <c r="S26" s="535"/>
      <c r="T26" s="243">
        <v>1</v>
      </c>
      <c r="U26" s="559"/>
      <c r="V26" s="257">
        <v>1</v>
      </c>
      <c r="W26" s="535"/>
      <c r="X26" s="257">
        <v>1</v>
      </c>
      <c r="Y26" s="535"/>
    </row>
    <row r="27" spans="1:25" ht="12" customHeight="1">
      <c r="B27" s="86" t="s">
        <v>1321</v>
      </c>
      <c r="C27" s="96" t="s">
        <v>1322</v>
      </c>
      <c r="D27" s="97">
        <v>14.43</v>
      </c>
      <c r="E27" s="350" t="s">
        <v>1323</v>
      </c>
      <c r="F27" s="339">
        <f t="shared" si="2"/>
        <v>7.6070552292026106</v>
      </c>
      <c r="G27" s="372">
        <f>I528*M27</f>
        <v>109.76980695739367</v>
      </c>
      <c r="H27" s="308">
        <v>31.2</v>
      </c>
      <c r="I27" s="89">
        <f>$D27*$H27</f>
        <v>450.21600000000001</v>
      </c>
      <c r="J27" s="39"/>
      <c r="K27" s="62">
        <f>+I27/$I$25</f>
        <v>1.4280747785447809E-2</v>
      </c>
      <c r="L27" s="63">
        <f>+L26+K27</f>
        <v>1.5235677792889712E-2</v>
      </c>
      <c r="M27" s="64">
        <f t="shared" si="6"/>
        <v>4.4884695587604615E-4</v>
      </c>
      <c r="N27" s="75">
        <f>+N26+M27</f>
        <v>4.7886061015763444E-4</v>
      </c>
      <c r="O27" s="39"/>
      <c r="P27" s="258">
        <v>1</v>
      </c>
      <c r="Q27" s="535"/>
      <c r="R27" s="258">
        <v>1</v>
      </c>
      <c r="S27" s="535"/>
      <c r="T27" s="244">
        <v>1</v>
      </c>
      <c r="U27" s="559"/>
      <c r="V27" s="258">
        <v>1</v>
      </c>
      <c r="W27" s="535"/>
      <c r="X27" s="258">
        <v>1</v>
      </c>
      <c r="Y27" s="535"/>
    </row>
    <row r="28" spans="1:25" ht="12" customHeight="1">
      <c r="B28" s="86" t="s">
        <v>1324</v>
      </c>
      <c r="C28" s="96" t="s">
        <v>1325</v>
      </c>
      <c r="D28" s="97">
        <v>461.18</v>
      </c>
      <c r="E28" s="350" t="s">
        <v>1326</v>
      </c>
      <c r="F28" s="339">
        <f t="shared" si="2"/>
        <v>4.8007345340704939</v>
      </c>
      <c r="G28" s="372">
        <f>I528*M28</f>
        <v>2214.0027524226302</v>
      </c>
      <c r="H28" s="308">
        <v>19.690000000000001</v>
      </c>
      <c r="I28" s="89">
        <f>$D28*$H28</f>
        <v>9080.6342000000004</v>
      </c>
      <c r="J28" s="39"/>
      <c r="K28" s="62">
        <f>+I28/$I$25</f>
        <v>0.28803562454935328</v>
      </c>
      <c r="L28" s="63">
        <f>+L27+K28</f>
        <v>0.30327130234224298</v>
      </c>
      <c r="M28" s="64">
        <f t="shared" si="6"/>
        <v>9.0530212566721658E-3</v>
      </c>
      <c r="N28" s="75">
        <f>+N27+M28</f>
        <v>9.5318818668297996E-3</v>
      </c>
      <c r="O28" s="39"/>
      <c r="P28" s="258">
        <v>1</v>
      </c>
      <c r="Q28" s="535"/>
      <c r="R28" s="258">
        <v>1</v>
      </c>
      <c r="S28" s="535"/>
      <c r="T28" s="244">
        <v>1</v>
      </c>
      <c r="U28" s="559"/>
      <c r="V28" s="258">
        <v>1</v>
      </c>
      <c r="W28" s="535"/>
      <c r="X28" s="258">
        <v>1</v>
      </c>
      <c r="Y28" s="535"/>
    </row>
    <row r="29" spans="1:25" ht="12" customHeight="1">
      <c r="B29" s="86" t="s">
        <v>1327</v>
      </c>
      <c r="C29" s="96" t="s">
        <v>1328</v>
      </c>
      <c r="D29" s="97">
        <v>3208</v>
      </c>
      <c r="E29" s="350" t="s">
        <v>1329</v>
      </c>
      <c r="F29" s="339">
        <f t="shared" si="2"/>
        <v>0.85579371328529374</v>
      </c>
      <c r="G29" s="372">
        <f>I528*M29</f>
        <v>2745.3862322192222</v>
      </c>
      <c r="H29" s="308">
        <v>3.51</v>
      </c>
      <c r="I29" s="89">
        <f>$D29*$H29</f>
        <v>11260.08</v>
      </c>
      <c r="J29" s="39"/>
      <c r="K29" s="124">
        <f>+I29/$I$25</f>
        <v>0.35716714315787346</v>
      </c>
      <c r="L29" s="125">
        <f>+L28+K29</f>
        <v>0.66043844550011643</v>
      </c>
      <c r="M29" s="126">
        <f t="shared" si="6"/>
        <v>1.1225839665673254E-2</v>
      </c>
      <c r="N29" s="127">
        <f>+N28+M29</f>
        <v>2.0757721532503055E-2</v>
      </c>
      <c r="O29" s="39"/>
      <c r="P29" s="258">
        <v>1</v>
      </c>
      <c r="Q29" s="535"/>
      <c r="R29" s="258">
        <v>1</v>
      </c>
      <c r="S29" s="535"/>
      <c r="T29" s="244">
        <v>1</v>
      </c>
      <c r="U29" s="559"/>
      <c r="V29" s="258">
        <v>1</v>
      </c>
      <c r="W29" s="535"/>
      <c r="X29" s="258">
        <v>1</v>
      </c>
      <c r="Y29" s="535"/>
    </row>
    <row r="30" spans="1:25" ht="12" customHeight="1" thickBot="1">
      <c r="B30" s="87" t="s">
        <v>1330</v>
      </c>
      <c r="C30" s="98" t="s">
        <v>1331</v>
      </c>
      <c r="D30" s="99">
        <v>39.979999999999997</v>
      </c>
      <c r="E30" s="355" t="s">
        <v>1332</v>
      </c>
      <c r="F30" s="343">
        <f t="shared" si="2"/>
        <v>65.284138082413179</v>
      </c>
      <c r="G30" s="378">
        <f>I528*M30</f>
        <v>2610.0598405348787</v>
      </c>
      <c r="H30" s="309">
        <v>267.76</v>
      </c>
      <c r="I30" s="93">
        <f>$D30*$H30</f>
        <v>10705.0448</v>
      </c>
      <c r="J30" s="39"/>
      <c r="K30" s="128">
        <f>+I30/$I$25</f>
        <v>0.33956155449988357</v>
      </c>
      <c r="L30" s="129">
        <f>+L29+K30</f>
        <v>1</v>
      </c>
      <c r="M30" s="130">
        <f t="shared" si="6"/>
        <v>1.0672492250379145E-2</v>
      </c>
      <c r="N30" s="131">
        <f>+N29+M30</f>
        <v>3.1430213782882202E-2</v>
      </c>
      <c r="O30" s="39"/>
      <c r="P30" s="279">
        <v>1</v>
      </c>
      <c r="Q30" s="536"/>
      <c r="R30" s="279">
        <v>1</v>
      </c>
      <c r="S30" s="536"/>
      <c r="T30" s="249">
        <v>1</v>
      </c>
      <c r="U30" s="560"/>
      <c r="V30" s="279">
        <v>1</v>
      </c>
      <c r="W30" s="536"/>
      <c r="X30" s="279">
        <v>1</v>
      </c>
      <c r="Y30" s="536"/>
    </row>
    <row r="31" spans="1:25" ht="15.75">
      <c r="A31" s="291" t="s">
        <v>70</v>
      </c>
      <c r="B31" s="35"/>
      <c r="C31" s="137" t="s">
        <v>295</v>
      </c>
      <c r="D31" s="105"/>
      <c r="E31" s="358"/>
      <c r="F31" s="395">
        <f>+G31/D$3</f>
        <v>32.282671841076827</v>
      </c>
      <c r="G31" s="375">
        <f>SUM(G32:G39)</f>
        <v>29726.207057981952</v>
      </c>
      <c r="H31" s="312"/>
      <c r="I31" s="56">
        <f>SUM(I32:I39)</f>
        <v>115363.5762</v>
      </c>
      <c r="J31" s="39"/>
      <c r="K31" s="118"/>
      <c r="L31" s="119"/>
      <c r="M31" s="120">
        <f t="shared" si="6"/>
        <v>0.11501277163926713</v>
      </c>
      <c r="N31" s="121"/>
      <c r="O31" s="38"/>
      <c r="P31" s="283">
        <f>SUMPRODUCT( P32:P39,$M$32:$M$39)</f>
        <v>1.5903386124231596E-2</v>
      </c>
      <c r="Q31" s="511">
        <f>+P31/$M$31</f>
        <v>0.13827495762046252</v>
      </c>
      <c r="R31" s="283">
        <f>SUMPRODUCT( R32:R39,$M$32:$M$39)</f>
        <v>3.7056023320370508E-2</v>
      </c>
      <c r="S31" s="511">
        <f>+R31/$M$31</f>
        <v>0.3221905079950183</v>
      </c>
      <c r="T31" s="256">
        <f>SUMPRODUCT( T32:T39,$M$32:$M$39)</f>
        <v>0.1150127716392671</v>
      </c>
      <c r="U31" s="522">
        <f>+T31/$M$31</f>
        <v>0.99999999999999978</v>
      </c>
      <c r="V31" s="283">
        <f>SUMPRODUCT( V32:V39,$M$32:$M$39)</f>
        <v>0.1150127716392671</v>
      </c>
      <c r="W31" s="511">
        <f>+V31/$M$31</f>
        <v>0.99999999999999978</v>
      </c>
      <c r="X31" s="283">
        <f>SUMPRODUCT( X32:X39,$M$32:$M$39)</f>
        <v>0.1150127716392671</v>
      </c>
      <c r="Y31" s="511">
        <f>+X31/$M$31</f>
        <v>0.99999999999999978</v>
      </c>
    </row>
    <row r="32" spans="1:25" ht="12" customHeight="1">
      <c r="B32" s="86" t="s">
        <v>1333</v>
      </c>
      <c r="C32" s="96" t="s">
        <v>1334</v>
      </c>
      <c r="D32" s="97">
        <v>994.58</v>
      </c>
      <c r="E32" s="350" t="s">
        <v>1335</v>
      </c>
      <c r="F32" s="339">
        <f t="shared" si="2"/>
        <v>10.689619308138784</v>
      </c>
      <c r="G32" s="372">
        <f>I528*M32*1.7</f>
        <v>10631.681571488672</v>
      </c>
      <c r="H32" s="308">
        <v>25.79</v>
      </c>
      <c r="I32" s="114">
        <f t="shared" ref="I32:I39" si="7">$D32*$H32</f>
        <v>25650.218199999999</v>
      </c>
      <c r="J32" s="39"/>
      <c r="K32" s="23">
        <f>+I32/I$31</f>
        <v>0.22234243289694414</v>
      </c>
      <c r="L32" s="25">
        <f>+K32</f>
        <v>0.22234243289694414</v>
      </c>
      <c r="M32" s="26">
        <f t="shared" ref="M32:M40" si="8">+I32/$I$514</f>
        <v>2.5572219460495309E-2</v>
      </c>
      <c r="N32" s="122">
        <f>+M32</f>
        <v>2.5572219460495309E-2</v>
      </c>
      <c r="O32" s="39"/>
      <c r="P32" s="257">
        <v>0.15</v>
      </c>
      <c r="Q32" s="535"/>
      <c r="R32" s="257">
        <v>0.5</v>
      </c>
      <c r="S32" s="535"/>
      <c r="T32" s="243">
        <v>1</v>
      </c>
      <c r="U32" s="559"/>
      <c r="V32" s="257">
        <v>1</v>
      </c>
      <c r="W32" s="535"/>
      <c r="X32" s="257">
        <v>1</v>
      </c>
      <c r="Y32" s="535"/>
    </row>
    <row r="33" spans="1:25" ht="12" customHeight="1">
      <c r="B33" s="86" t="s">
        <v>1336</v>
      </c>
      <c r="C33" s="96" t="s">
        <v>1337</v>
      </c>
      <c r="D33" s="97">
        <v>7436</v>
      </c>
      <c r="E33" s="350" t="s">
        <v>1338</v>
      </c>
      <c r="F33" s="339">
        <f t="shared" si="2"/>
        <v>0.85579371328529352</v>
      </c>
      <c r="G33" s="372">
        <f>I528*M33</f>
        <v>6363.6820519894427</v>
      </c>
      <c r="H33" s="308">
        <v>3.51</v>
      </c>
      <c r="I33" s="114">
        <f t="shared" si="7"/>
        <v>26100.359999999997</v>
      </c>
      <c r="J33" s="39"/>
      <c r="K33" s="62">
        <f t="shared" ref="K33:K39" si="9">+I33/I$31</f>
        <v>0.22624437330853131</v>
      </c>
      <c r="L33" s="63">
        <f>+K33+L32</f>
        <v>0.44858680620547542</v>
      </c>
      <c r="M33" s="64">
        <f t="shared" si="8"/>
        <v>2.6020992442003212E-2</v>
      </c>
      <c r="N33" s="123">
        <f t="shared" ref="N33:N39" si="10">+M33+N32</f>
        <v>5.159321190249852E-2</v>
      </c>
      <c r="O33" s="39"/>
      <c r="P33" s="258">
        <v>0.3</v>
      </c>
      <c r="Q33" s="535"/>
      <c r="R33" s="258">
        <v>0.5</v>
      </c>
      <c r="S33" s="535"/>
      <c r="T33" s="244">
        <v>1</v>
      </c>
      <c r="U33" s="559"/>
      <c r="V33" s="258">
        <v>1</v>
      </c>
      <c r="W33" s="535"/>
      <c r="X33" s="258">
        <v>1</v>
      </c>
      <c r="Y33" s="535"/>
    </row>
    <row r="34" spans="1:25" ht="12" customHeight="1">
      <c r="B34" s="86" t="s">
        <v>1339</v>
      </c>
      <c r="C34" s="96" t="s">
        <v>1340</v>
      </c>
      <c r="D34" s="97">
        <v>106.42</v>
      </c>
      <c r="E34" s="350" t="s">
        <v>1341</v>
      </c>
      <c r="F34" s="339">
        <f t="shared" si="2"/>
        <v>39.1704828494479</v>
      </c>
      <c r="G34" s="372">
        <f>I528*M34*0.6</f>
        <v>4168.5227848382456</v>
      </c>
      <c r="H34" s="308">
        <v>267.76</v>
      </c>
      <c r="I34" s="114">
        <f t="shared" si="7"/>
        <v>28495.019199999999</v>
      </c>
      <c r="J34" s="39"/>
      <c r="K34" s="62">
        <f t="shared" si="9"/>
        <v>0.24700187128907677</v>
      </c>
      <c r="L34" s="63">
        <f t="shared" ref="L34:L39" si="11">+K34+L33</f>
        <v>0.69558867749455222</v>
      </c>
      <c r="M34" s="64">
        <f t="shared" si="8"/>
        <v>2.8408369817042235E-2</v>
      </c>
      <c r="N34" s="123">
        <f t="shared" si="10"/>
        <v>8.0001581719540749E-2</v>
      </c>
      <c r="O34" s="39"/>
      <c r="P34" s="258">
        <v>0.15</v>
      </c>
      <c r="Q34" s="535"/>
      <c r="R34" s="258">
        <v>0.15</v>
      </c>
      <c r="S34" s="535"/>
      <c r="T34" s="244">
        <v>1</v>
      </c>
      <c r="U34" s="559"/>
      <c r="V34" s="258">
        <v>1</v>
      </c>
      <c r="W34" s="535"/>
      <c r="X34" s="258">
        <v>1</v>
      </c>
      <c r="Y34" s="535"/>
    </row>
    <row r="35" spans="1:25" ht="12" customHeight="1">
      <c r="B35" s="86" t="s">
        <v>1342</v>
      </c>
      <c r="C35" s="96" t="s">
        <v>1343</v>
      </c>
      <c r="D35" s="97">
        <v>459.6</v>
      </c>
      <c r="E35" s="350" t="s">
        <v>1344</v>
      </c>
      <c r="F35" s="339">
        <f t="shared" si="2"/>
        <v>9.6477940839598482</v>
      </c>
      <c r="G35" s="372">
        <f>I528*M35</f>
        <v>4434.1261609879466</v>
      </c>
      <c r="H35" s="308">
        <v>39.57</v>
      </c>
      <c r="I35" s="114">
        <f t="shared" si="7"/>
        <v>18186.371999999999</v>
      </c>
      <c r="J35" s="39"/>
      <c r="K35" s="62">
        <f t="shared" si="9"/>
        <v>0.15764396873820213</v>
      </c>
      <c r="L35" s="63">
        <f t="shared" si="11"/>
        <v>0.85323264623275441</v>
      </c>
      <c r="M35" s="64">
        <f t="shared" si="8"/>
        <v>1.8131069776794607E-2</v>
      </c>
      <c r="N35" s="123">
        <f t="shared" si="10"/>
        <v>9.8132651496335349E-2</v>
      </c>
      <c r="O35" s="39"/>
      <c r="P35" s="258">
        <v>0</v>
      </c>
      <c r="Q35" s="535"/>
      <c r="R35" s="258">
        <v>0.3</v>
      </c>
      <c r="S35" s="535"/>
      <c r="T35" s="244">
        <v>1</v>
      </c>
      <c r="U35" s="559"/>
      <c r="V35" s="258">
        <v>1</v>
      </c>
      <c r="W35" s="535"/>
      <c r="X35" s="258">
        <v>1</v>
      </c>
      <c r="Y35" s="535"/>
    </row>
    <row r="36" spans="1:25" ht="12" customHeight="1">
      <c r="B36" s="86" t="s">
        <v>1345</v>
      </c>
      <c r="C36" s="96" t="s">
        <v>1346</v>
      </c>
      <c r="D36" s="97">
        <v>147.84</v>
      </c>
      <c r="E36" s="350" t="s">
        <v>1347</v>
      </c>
      <c r="F36" s="339">
        <f t="shared" si="2"/>
        <v>5.3200623429872111</v>
      </c>
      <c r="G36" s="372">
        <f>I528*M36</f>
        <v>786.51801678722927</v>
      </c>
      <c r="H36" s="308">
        <v>21.82</v>
      </c>
      <c r="I36" s="114">
        <f t="shared" si="7"/>
        <v>3225.8688000000002</v>
      </c>
      <c r="J36" s="39"/>
      <c r="K36" s="62">
        <f t="shared" si="9"/>
        <v>2.7962628294458163E-2</v>
      </c>
      <c r="L36" s="63">
        <f t="shared" si="11"/>
        <v>0.88119527452721258</v>
      </c>
      <c r="M36" s="64">
        <f t="shared" si="8"/>
        <v>3.2160593824642264E-3</v>
      </c>
      <c r="N36" s="123">
        <f t="shared" si="10"/>
        <v>0.10134871087879957</v>
      </c>
      <c r="O36" s="39"/>
      <c r="P36" s="258">
        <v>0</v>
      </c>
      <c r="Q36" s="535"/>
      <c r="R36" s="258">
        <v>0.3</v>
      </c>
      <c r="S36" s="535"/>
      <c r="T36" s="244">
        <v>1</v>
      </c>
      <c r="U36" s="559"/>
      <c r="V36" s="258">
        <v>1</v>
      </c>
      <c r="W36" s="535"/>
      <c r="X36" s="258">
        <v>1</v>
      </c>
      <c r="Y36" s="535"/>
    </row>
    <row r="37" spans="1:25" ht="12" customHeight="1">
      <c r="B37" s="86" t="s">
        <v>1348</v>
      </c>
      <c r="C37" s="96" t="s">
        <v>1349</v>
      </c>
      <c r="D37" s="97">
        <v>26.6</v>
      </c>
      <c r="E37" s="350" t="s">
        <v>1350</v>
      </c>
      <c r="F37" s="339">
        <f t="shared" si="2"/>
        <v>1.6823295218428853</v>
      </c>
      <c r="G37" s="372">
        <f>I528*M37</f>
        <v>44.749965281020749</v>
      </c>
      <c r="H37" s="308">
        <v>6.9</v>
      </c>
      <c r="I37" s="114">
        <f t="shared" si="7"/>
        <v>183.54000000000002</v>
      </c>
      <c r="J37" s="39"/>
      <c r="K37" s="62">
        <f t="shared" si="9"/>
        <v>1.590970096851072E-3</v>
      </c>
      <c r="L37" s="63">
        <f t="shared" si="11"/>
        <v>0.88278624462406363</v>
      </c>
      <c r="M37" s="64">
        <f t="shared" si="8"/>
        <v>1.8298188043403503E-4</v>
      </c>
      <c r="N37" s="123">
        <f t="shared" si="10"/>
        <v>0.1015316927592336</v>
      </c>
      <c r="O37" s="39"/>
      <c r="P37" s="258">
        <v>0</v>
      </c>
      <c r="Q37" s="535"/>
      <c r="R37" s="258">
        <v>0</v>
      </c>
      <c r="S37" s="535"/>
      <c r="T37" s="244">
        <v>1</v>
      </c>
      <c r="U37" s="559"/>
      <c r="V37" s="258">
        <v>1</v>
      </c>
      <c r="W37" s="535"/>
      <c r="X37" s="258">
        <v>1</v>
      </c>
      <c r="Y37" s="535"/>
    </row>
    <row r="38" spans="1:25" ht="12" customHeight="1">
      <c r="B38" s="86" t="s">
        <v>1351</v>
      </c>
      <c r="C38" s="96" t="s">
        <v>1352</v>
      </c>
      <c r="D38" s="97">
        <v>495.6</v>
      </c>
      <c r="E38" s="350" t="s">
        <v>1353</v>
      </c>
      <c r="F38" s="339">
        <f t="shared" si="2"/>
        <v>6.0661389135436208</v>
      </c>
      <c r="G38" s="372">
        <f>I528*M38</f>
        <v>3006.3784455522186</v>
      </c>
      <c r="H38" s="308">
        <v>24.88</v>
      </c>
      <c r="I38" s="114">
        <f t="shared" si="7"/>
        <v>12330.528</v>
      </c>
      <c r="J38" s="39"/>
      <c r="K38" s="62">
        <f t="shared" si="9"/>
        <v>0.10688406519769453</v>
      </c>
      <c r="L38" s="63">
        <f t="shared" si="11"/>
        <v>0.98967030982175819</v>
      </c>
      <c r="M38" s="64">
        <f t="shared" si="8"/>
        <v>1.2293032582458979E-2</v>
      </c>
      <c r="N38" s="123">
        <f t="shared" si="10"/>
        <v>0.11382472534169258</v>
      </c>
      <c r="O38" s="39"/>
      <c r="P38" s="258">
        <v>0</v>
      </c>
      <c r="Q38" s="535"/>
      <c r="R38" s="258">
        <v>0</v>
      </c>
      <c r="S38" s="535"/>
      <c r="T38" s="244">
        <v>1</v>
      </c>
      <c r="U38" s="559"/>
      <c r="V38" s="258">
        <v>1</v>
      </c>
      <c r="W38" s="535"/>
      <c r="X38" s="258">
        <v>1</v>
      </c>
      <c r="Y38" s="535"/>
    </row>
    <row r="39" spans="1:25" ht="13.5" thickBot="1">
      <c r="B39" s="87" t="s">
        <v>1354</v>
      </c>
      <c r="C39" s="98" t="s">
        <v>1355</v>
      </c>
      <c r="D39" s="99">
        <v>1</v>
      </c>
      <c r="E39" s="355" t="s">
        <v>1356</v>
      </c>
      <c r="F39" s="340">
        <f t="shared" si="2"/>
        <v>290.54806105717552</v>
      </c>
      <c r="G39" s="373">
        <f>I528*M39</f>
        <v>290.54806105717552</v>
      </c>
      <c r="H39" s="309">
        <v>1191.67</v>
      </c>
      <c r="I39" s="90">
        <f t="shared" si="7"/>
        <v>1191.67</v>
      </c>
      <c r="J39" s="39"/>
      <c r="K39" s="115">
        <f t="shared" si="9"/>
        <v>1.0329690178241892E-2</v>
      </c>
      <c r="L39" s="116">
        <f t="shared" si="11"/>
        <v>1</v>
      </c>
      <c r="M39" s="117">
        <f t="shared" si="8"/>
        <v>1.1880462975745153E-3</v>
      </c>
      <c r="N39" s="132">
        <f t="shared" si="10"/>
        <v>0.1150127716392671</v>
      </c>
      <c r="O39" s="39"/>
      <c r="P39" s="280">
        <v>0</v>
      </c>
      <c r="Q39" s="536"/>
      <c r="R39" s="258">
        <v>0.5</v>
      </c>
      <c r="S39" s="536"/>
      <c r="T39" s="244">
        <v>1</v>
      </c>
      <c r="U39" s="560"/>
      <c r="V39" s="258">
        <v>1</v>
      </c>
      <c r="W39" s="536"/>
      <c r="X39" s="258">
        <v>1</v>
      </c>
      <c r="Y39" s="536"/>
    </row>
    <row r="40" spans="1:25" s="6" customFormat="1" ht="13.5" customHeight="1">
      <c r="A40" s="291" t="s">
        <v>70</v>
      </c>
      <c r="B40" s="35" t="s">
        <v>1357</v>
      </c>
      <c r="C40" s="137" t="s">
        <v>1358</v>
      </c>
      <c r="D40" s="105"/>
      <c r="E40" s="358"/>
      <c r="F40" s="395">
        <f>+G40/D$3</f>
        <v>4.0871535691214369</v>
      </c>
      <c r="G40" s="375">
        <f>SUM(G41:G42)</f>
        <v>3763.4918779827099</v>
      </c>
      <c r="H40" s="312"/>
      <c r="I40" s="56">
        <f>SUM(I41:I42)</f>
        <v>15435.7952</v>
      </c>
      <c r="J40" s="39"/>
      <c r="K40" s="118"/>
      <c r="L40" s="119"/>
      <c r="M40" s="120">
        <f t="shared" si="8"/>
        <v>1.538885709758446E-2</v>
      </c>
      <c r="N40" s="121"/>
      <c r="O40" s="38"/>
      <c r="P40" s="281">
        <f>SUMPRODUCT( P41:P42,$M$41:$M$42)</f>
        <v>0</v>
      </c>
      <c r="Q40" s="537">
        <f>+P40/$M$40</f>
        <v>0</v>
      </c>
      <c r="R40" s="281">
        <f>SUMPRODUCT( R41:R42,$M$41:$M$42)</f>
        <v>0</v>
      </c>
      <c r="S40" s="537">
        <f>+R40/$M$40</f>
        <v>0</v>
      </c>
      <c r="T40" s="252">
        <f>SUMPRODUCT( T41:T42,$M$41:$M$42)</f>
        <v>0</v>
      </c>
      <c r="U40" s="576">
        <f>+T40/$M$40</f>
        <v>0</v>
      </c>
      <c r="V40" s="281">
        <f>SUMPRODUCT( V41:V42,$M$41:$M$42)</f>
        <v>1.5388857097584458E-2</v>
      </c>
      <c r="W40" s="537">
        <f>+V40/$M$40</f>
        <v>0.99999999999999989</v>
      </c>
      <c r="X40" s="281">
        <f>SUMPRODUCT( X41:X42,$M$41:$M$42)</f>
        <v>1.5388857097584458E-2</v>
      </c>
      <c r="Y40" s="537">
        <f>+X40/$M$40</f>
        <v>0.99999999999999989</v>
      </c>
    </row>
    <row r="41" spans="1:25" ht="12" customHeight="1">
      <c r="B41" s="86" t="s">
        <v>1359</v>
      </c>
      <c r="C41" s="96" t="s">
        <v>1306</v>
      </c>
      <c r="D41" s="97">
        <v>593.65</v>
      </c>
      <c r="E41" s="350" t="s">
        <v>1360</v>
      </c>
      <c r="F41" s="339">
        <f t="shared" si="2"/>
        <v>4.8324305975255042</v>
      </c>
      <c r="G41" s="372">
        <f>I528*M41</f>
        <v>2868.7724242210156</v>
      </c>
      <c r="H41" s="308">
        <v>19.82</v>
      </c>
      <c r="I41" s="114">
        <f>$D41*$H41</f>
        <v>11766.143</v>
      </c>
      <c r="J41" s="39"/>
      <c r="K41" s="23">
        <f>+I41/I$40</f>
        <v>0.7622634822208576</v>
      </c>
      <c r="L41" s="25">
        <f>+K41</f>
        <v>0.7622634822208576</v>
      </c>
      <c r="M41" s="26">
        <f t="shared" ref="M41:M46" si="12">+I41/$I$514</f>
        <v>1.173036379860389E-2</v>
      </c>
      <c r="N41" s="122">
        <f>+M41</f>
        <v>1.173036379860389E-2</v>
      </c>
      <c r="O41" s="39"/>
      <c r="P41" s="257">
        <v>0</v>
      </c>
      <c r="Q41" s="535"/>
      <c r="R41" s="262">
        <v>0</v>
      </c>
      <c r="S41" s="535"/>
      <c r="T41" s="288">
        <v>0</v>
      </c>
      <c r="U41" s="559"/>
      <c r="V41" s="262">
        <v>1</v>
      </c>
      <c r="W41" s="535"/>
      <c r="X41" s="262">
        <v>1</v>
      </c>
      <c r="Y41" s="535"/>
    </row>
    <row r="42" spans="1:25" ht="12" customHeight="1" thickBot="1">
      <c r="B42" s="146" t="s">
        <v>1361</v>
      </c>
      <c r="C42" s="147" t="s">
        <v>1362</v>
      </c>
      <c r="D42" s="148">
        <v>132.66999999999999</v>
      </c>
      <c r="E42" s="360" t="s">
        <v>1363</v>
      </c>
      <c r="F42" s="344">
        <f t="shared" si="2"/>
        <v>6.7439470397353922</v>
      </c>
      <c r="G42" s="379">
        <f>I528*M42</f>
        <v>894.71945376169435</v>
      </c>
      <c r="H42" s="314">
        <v>27.66</v>
      </c>
      <c r="I42" s="149">
        <f>$D42*$H42</f>
        <v>3669.6521999999995</v>
      </c>
      <c r="J42" s="39"/>
      <c r="K42" s="62">
        <f>+I42/I$40</f>
        <v>0.23773651777914231</v>
      </c>
      <c r="L42" s="63">
        <f>+K42+L41</f>
        <v>0.99999999999999989</v>
      </c>
      <c r="M42" s="64">
        <f t="shared" si="12"/>
        <v>3.6584932989805682E-3</v>
      </c>
      <c r="N42" s="123">
        <f>+M42+N41</f>
        <v>1.5388857097584458E-2</v>
      </c>
      <c r="O42" s="39"/>
      <c r="P42" s="258">
        <v>0</v>
      </c>
      <c r="Q42" s="536"/>
      <c r="R42" s="257">
        <v>0</v>
      </c>
      <c r="S42" s="536"/>
      <c r="T42" s="243">
        <v>0</v>
      </c>
      <c r="U42" s="560"/>
      <c r="V42" s="257">
        <v>1</v>
      </c>
      <c r="W42" s="536"/>
      <c r="X42" s="257">
        <v>1</v>
      </c>
      <c r="Y42" s="536"/>
    </row>
    <row r="43" spans="1:25" s="6" customFormat="1" ht="13.5" customHeight="1">
      <c r="A43" s="291" t="s">
        <v>70</v>
      </c>
      <c r="B43" s="36" t="s">
        <v>1364</v>
      </c>
      <c r="C43" s="106" t="s">
        <v>1365</v>
      </c>
      <c r="D43" s="107"/>
      <c r="E43" s="361"/>
      <c r="F43" s="395">
        <f>+G43/D$3</f>
        <v>11.450985401261907</v>
      </c>
      <c r="G43" s="380">
        <f>+G44+G48</f>
        <v>10544.181867335976</v>
      </c>
      <c r="H43" s="315"/>
      <c r="I43" s="55">
        <f>+I44+I48</f>
        <v>45058.5861</v>
      </c>
      <c r="J43" s="38"/>
      <c r="K43" s="546" t="str">
        <f>+C43</f>
        <v>Alvenarias e Outras Vedações</v>
      </c>
      <c r="L43" s="547"/>
      <c r="M43" s="150">
        <f t="shared" si="12"/>
        <v>4.4921569218028069E-2</v>
      </c>
      <c r="N43" s="151"/>
      <c r="O43" s="38"/>
      <c r="P43" s="281">
        <f>+P44+P49</f>
        <v>0</v>
      </c>
      <c r="Q43" s="287">
        <f>+P43/$M$43</f>
        <v>0</v>
      </c>
      <c r="R43" s="281">
        <f>+R44+R49</f>
        <v>0</v>
      </c>
      <c r="S43" s="287">
        <f>+R43/$M$43</f>
        <v>0</v>
      </c>
      <c r="T43" s="252">
        <f>+T44+T49</f>
        <v>3.2854688421931892E-2</v>
      </c>
      <c r="U43" s="250">
        <f>+T43/$M$43</f>
        <v>0.7313789120426929</v>
      </c>
      <c r="V43" s="281">
        <f>+V44+V49</f>
        <v>4.106836052741486E-2</v>
      </c>
      <c r="W43" s="287">
        <f>+V43/$M$43</f>
        <v>0.91422364005336598</v>
      </c>
      <c r="X43" s="281">
        <f>+X44+X49</f>
        <v>4.106836052741486E-2</v>
      </c>
      <c r="Y43" s="287">
        <f>+X43/$M$43</f>
        <v>0.91422364005336598</v>
      </c>
    </row>
    <row r="44" spans="1:25" ht="13.5" customHeight="1">
      <c r="A44" s="291" t="s">
        <v>70</v>
      </c>
      <c r="B44" s="158"/>
      <c r="C44" s="159" t="s">
        <v>1366</v>
      </c>
      <c r="D44" s="160"/>
      <c r="E44" s="359"/>
      <c r="F44" s="394">
        <f>+G44/D$3</f>
        <v>11.450985401261907</v>
      </c>
      <c r="G44" s="377">
        <f>SUM(G45:G47)</f>
        <v>10544.181867335976</v>
      </c>
      <c r="H44" s="313"/>
      <c r="I44" s="231">
        <f>SUM(I45:I47)</f>
        <v>41473.068599999999</v>
      </c>
      <c r="J44" s="154"/>
      <c r="K44" s="568" t="str">
        <f>+C44</f>
        <v>alvenaria ou blocos</v>
      </c>
      <c r="L44" s="569"/>
      <c r="M44" s="155">
        <f t="shared" si="12"/>
        <v>4.1346954777147935E-2</v>
      </c>
      <c r="N44" s="156"/>
      <c r="O44" s="38"/>
      <c r="P44" s="270">
        <f>SUMPRODUCT( P45:P47,$M$45:$M$47)</f>
        <v>0</v>
      </c>
      <c r="Q44" s="516">
        <f>+P44/$M$44</f>
        <v>0</v>
      </c>
      <c r="R44" s="270">
        <f>SUMPRODUCT( R45:R47,$M$45:$M$47)</f>
        <v>0</v>
      </c>
      <c r="S44" s="516">
        <f>+R44/$M$44</f>
        <v>0</v>
      </c>
      <c r="T44" s="253">
        <f>SUMPRODUCT( T45:T47,$M$45:$M$47)</f>
        <v>3.2854688421931892E-2</v>
      </c>
      <c r="U44" s="561">
        <f>+T44/$M$44</f>
        <v>0.79460962963324122</v>
      </c>
      <c r="V44" s="270">
        <f>SUMPRODUCT( V45:V47,$M$45:$M$47)</f>
        <v>4.106836052741486E-2</v>
      </c>
      <c r="W44" s="516">
        <f>+V44/$M$44</f>
        <v>0.99326203704155136</v>
      </c>
      <c r="X44" s="270">
        <f>SUMPRODUCT( X45:X47,$M$45:$M$47)</f>
        <v>4.106836052741486E-2</v>
      </c>
      <c r="Y44" s="516">
        <f>+X44/$M$44</f>
        <v>0.99326203704155136</v>
      </c>
    </row>
    <row r="45" spans="1:25" ht="12.75" customHeight="1">
      <c r="B45" s="86" t="s">
        <v>1367</v>
      </c>
      <c r="C45" s="96" t="s">
        <v>1307</v>
      </c>
      <c r="D45" s="97">
        <v>533.1</v>
      </c>
      <c r="E45" s="350" t="s">
        <v>1368</v>
      </c>
      <c r="F45" s="346">
        <f t="shared" si="2"/>
        <v>9.8123697980531741</v>
      </c>
      <c r="G45" s="372">
        <f>I528*M45*1.5</f>
        <v>5230.9743393421477</v>
      </c>
      <c r="H45" s="308">
        <v>26.83</v>
      </c>
      <c r="I45" s="89">
        <f>$D45*$H45</f>
        <v>14303.073</v>
      </c>
      <c r="J45" s="154"/>
      <c r="K45" s="62">
        <f>+I45/$I$44</f>
        <v>0.34487616862765735</v>
      </c>
      <c r="L45" s="63">
        <f>+K45</f>
        <v>0.34487616862765735</v>
      </c>
      <c r="M45" s="64">
        <f t="shared" si="12"/>
        <v>1.4259579347963793E-2</v>
      </c>
      <c r="N45" s="123">
        <f>+M45</f>
        <v>1.4259579347963793E-2</v>
      </c>
      <c r="O45" s="39"/>
      <c r="P45" s="257">
        <v>0</v>
      </c>
      <c r="Q45" s="516"/>
      <c r="R45" s="257">
        <v>0</v>
      </c>
      <c r="S45" s="516"/>
      <c r="T45" s="243">
        <v>0.8</v>
      </c>
      <c r="U45" s="561"/>
      <c r="V45" s="257">
        <v>1</v>
      </c>
      <c r="W45" s="516"/>
      <c r="X45" s="257">
        <v>1</v>
      </c>
      <c r="Y45" s="516"/>
    </row>
    <row r="46" spans="1:25" ht="12" customHeight="1">
      <c r="B46" s="86" t="s">
        <v>1369</v>
      </c>
      <c r="C46" s="96" t="s">
        <v>1308</v>
      </c>
      <c r="D46" s="97">
        <v>692.52</v>
      </c>
      <c r="E46" s="350" t="s">
        <v>1370</v>
      </c>
      <c r="F46" s="339">
        <f t="shared" si="2"/>
        <v>7.5738962705112147</v>
      </c>
      <c r="G46" s="372">
        <f>I528*M46*0.8</f>
        <v>5245.0746452544263</v>
      </c>
      <c r="H46" s="308">
        <v>38.83</v>
      </c>
      <c r="I46" s="89">
        <f>$D46*$H46</f>
        <v>26890.551599999999</v>
      </c>
      <c r="J46" s="154"/>
      <c r="K46" s="62">
        <f>+I46/$I$44</f>
        <v>0.64838586841389401</v>
      </c>
      <c r="L46" s="63">
        <f>+L45+K46</f>
        <v>0.99326203704155136</v>
      </c>
      <c r="M46" s="64">
        <f t="shared" si="12"/>
        <v>2.6808781179451069E-2</v>
      </c>
      <c r="N46" s="123">
        <f>+N45+M46</f>
        <v>4.106836052741486E-2</v>
      </c>
      <c r="O46" s="39"/>
      <c r="P46" s="258">
        <v>0</v>
      </c>
      <c r="Q46" s="516"/>
      <c r="R46" s="258">
        <v>0</v>
      </c>
      <c r="S46" s="516"/>
      <c r="T46" s="244">
        <v>0.8</v>
      </c>
      <c r="U46" s="561"/>
      <c r="V46" s="258">
        <v>1</v>
      </c>
      <c r="W46" s="516"/>
      <c r="X46" s="258">
        <v>1</v>
      </c>
      <c r="Y46" s="516"/>
    </row>
    <row r="47" spans="1:25" ht="13.5" customHeight="1">
      <c r="B47" s="86" t="s">
        <v>1371</v>
      </c>
      <c r="C47" s="96" t="s">
        <v>1372</v>
      </c>
      <c r="D47" s="97">
        <v>0.4</v>
      </c>
      <c r="E47" s="350" t="s">
        <v>1373</v>
      </c>
      <c r="F47" s="345">
        <f t="shared" si="2"/>
        <v>170.33220684850116</v>
      </c>
      <c r="G47" s="372">
        <f>I528*M47</f>
        <v>68.132882739400472</v>
      </c>
      <c r="H47" s="308">
        <v>698.61</v>
      </c>
      <c r="I47" s="89">
        <f>$D47*$H47</f>
        <v>279.44400000000002</v>
      </c>
      <c r="J47" s="154"/>
      <c r="K47" s="62">
        <f>+I47/I$44</f>
        <v>6.7379629584486548E-3</v>
      </c>
      <c r="L47" s="63">
        <f>+K47+L46</f>
        <v>1</v>
      </c>
      <c r="M47" s="64">
        <f>+I47/$I$514</f>
        <v>2.7859424973307445E-4</v>
      </c>
      <c r="N47" s="145">
        <f>+M47+N46</f>
        <v>4.1346954777147935E-2</v>
      </c>
      <c r="O47" s="39"/>
      <c r="P47" s="282">
        <v>0</v>
      </c>
      <c r="Q47" s="516"/>
      <c r="R47" s="282">
        <v>0</v>
      </c>
      <c r="S47" s="516"/>
      <c r="T47" s="254">
        <v>0</v>
      </c>
      <c r="U47" s="561"/>
      <c r="V47" s="282">
        <v>0</v>
      </c>
      <c r="W47" s="516"/>
      <c r="X47" s="282">
        <v>0</v>
      </c>
      <c r="Y47" s="516"/>
    </row>
    <row r="48" spans="1:25" ht="13.5" customHeight="1">
      <c r="A48" s="291" t="s">
        <v>70</v>
      </c>
      <c r="B48" s="158"/>
      <c r="C48" s="159" t="s">
        <v>250</v>
      </c>
      <c r="D48" s="160"/>
      <c r="E48" s="359"/>
      <c r="F48" s="394">
        <f>+G48/D$3</f>
        <v>0</v>
      </c>
      <c r="G48" s="377">
        <f>SUM(G49:G50)</f>
        <v>0</v>
      </c>
      <c r="H48" s="313"/>
      <c r="I48" s="231">
        <f>SUM(I49:I50)</f>
        <v>3585.5175000000004</v>
      </c>
      <c r="J48" s="154"/>
      <c r="K48" s="568" t="str">
        <f>+C48</f>
        <v>Divisorias Sanitarios e Salas</v>
      </c>
      <c r="L48" s="569"/>
      <c r="M48" s="155">
        <f>+I48/$I$514</f>
        <v>3.5746144408801365E-3</v>
      </c>
      <c r="N48" s="156"/>
      <c r="O48" s="38"/>
      <c r="P48" s="272">
        <f>SUMPRODUCT( P49:P50,$M$49:$M$50)</f>
        <v>0</v>
      </c>
      <c r="Q48" s="535">
        <f>+P48/$M$48</f>
        <v>0</v>
      </c>
      <c r="R48" s="272">
        <f>SUMPRODUCT( R49:R50,$M$49:$M$50)</f>
        <v>0</v>
      </c>
      <c r="S48" s="535">
        <f>+R48/$M$48</f>
        <v>0</v>
      </c>
      <c r="T48" s="255">
        <f>SUMPRODUCT( T49:T50,$M$49:$M$50)</f>
        <v>0</v>
      </c>
      <c r="U48" s="559">
        <f>+T48/$M$48</f>
        <v>0</v>
      </c>
      <c r="V48" s="272">
        <f>SUMPRODUCT( V49:V50,$M$49:$M$50)</f>
        <v>0</v>
      </c>
      <c r="W48" s="535">
        <f>+V48/$M$48</f>
        <v>0</v>
      </c>
      <c r="X48" s="272">
        <f>SUMPRODUCT( X49:X50,$M$49:$M$50)</f>
        <v>0</v>
      </c>
      <c r="Y48" s="535">
        <f>+X48/$M$48</f>
        <v>0</v>
      </c>
    </row>
    <row r="49" spans="1:25" ht="12" customHeight="1">
      <c r="B49" s="86" t="s">
        <v>1374</v>
      </c>
      <c r="C49" s="96" t="s">
        <v>1375</v>
      </c>
      <c r="D49" s="97">
        <v>33.81</v>
      </c>
      <c r="E49" s="350" t="s">
        <v>1376</v>
      </c>
      <c r="F49" s="346">
        <f t="shared" si="2"/>
        <v>0</v>
      </c>
      <c r="G49" s="372">
        <v>0</v>
      </c>
      <c r="H49" s="308">
        <v>86.75</v>
      </c>
      <c r="I49" s="89">
        <f>$D49*$H49</f>
        <v>2933.0175000000004</v>
      </c>
      <c r="J49" s="154"/>
      <c r="K49" s="62">
        <f>+I49/$I$48</f>
        <v>0.81801790118162865</v>
      </c>
      <c r="L49" s="63">
        <f>+K49</f>
        <v>0.81801790118162865</v>
      </c>
      <c r="M49" s="64">
        <f>+I49/$I$514</f>
        <v>2.92409860246231E-3</v>
      </c>
      <c r="N49" s="123">
        <f>+M49</f>
        <v>2.92409860246231E-3</v>
      </c>
      <c r="O49" s="39"/>
      <c r="P49" s="257">
        <v>0</v>
      </c>
      <c r="Q49" s="535"/>
      <c r="R49" s="257">
        <v>0</v>
      </c>
      <c r="S49" s="535"/>
      <c r="T49" s="243">
        <v>0</v>
      </c>
      <c r="U49" s="559"/>
      <c r="V49" s="257">
        <v>0</v>
      </c>
      <c r="W49" s="535"/>
      <c r="X49" s="257">
        <v>0</v>
      </c>
      <c r="Y49" s="535"/>
    </row>
    <row r="50" spans="1:25" ht="13.5" customHeight="1" thickBot="1">
      <c r="B50" s="88" t="s">
        <v>1377</v>
      </c>
      <c r="C50" s="102" t="s">
        <v>0</v>
      </c>
      <c r="D50" s="103">
        <v>30</v>
      </c>
      <c r="E50" s="357" t="s">
        <v>1</v>
      </c>
      <c r="F50" s="338">
        <f t="shared" si="2"/>
        <v>0</v>
      </c>
      <c r="G50" s="371">
        <v>0</v>
      </c>
      <c r="H50" s="311">
        <v>21.75</v>
      </c>
      <c r="I50" s="57">
        <f>$D50*$H50</f>
        <v>652.5</v>
      </c>
      <c r="J50" s="39"/>
      <c r="K50" s="24">
        <f>+I50/$I$48</f>
        <v>0.18198209881837138</v>
      </c>
      <c r="L50" s="27">
        <f>+L49+K50</f>
        <v>1</v>
      </c>
      <c r="M50" s="28">
        <f>+I50/$I$514</f>
        <v>6.5051583841782632E-4</v>
      </c>
      <c r="N50" s="152">
        <f>+N49+M50</f>
        <v>3.5746144408801365E-3</v>
      </c>
      <c r="O50" s="39"/>
      <c r="P50" s="280">
        <v>0</v>
      </c>
      <c r="Q50" s="536"/>
      <c r="R50" s="280">
        <v>0</v>
      </c>
      <c r="S50" s="536"/>
      <c r="T50" s="251">
        <v>0</v>
      </c>
      <c r="U50" s="560"/>
      <c r="V50" s="280">
        <v>0</v>
      </c>
      <c r="W50" s="536"/>
      <c r="X50" s="280">
        <v>0</v>
      </c>
      <c r="Y50" s="536"/>
    </row>
    <row r="51" spans="1:25" s="6" customFormat="1" ht="27" customHeight="1">
      <c r="A51" s="291" t="s">
        <v>70</v>
      </c>
      <c r="B51" s="33" t="s">
        <v>2</v>
      </c>
      <c r="C51" s="136" t="s">
        <v>296</v>
      </c>
      <c r="D51" s="101"/>
      <c r="E51" s="356"/>
      <c r="F51" s="391">
        <f>+G51/D$3</f>
        <v>3.6269849606687723</v>
      </c>
      <c r="G51" s="374">
        <f>SUM(G52:G58)</f>
        <v>3339.7640216334121</v>
      </c>
      <c r="H51" s="310"/>
      <c r="I51" s="54">
        <f>SUM(I52:I58)</f>
        <v>153871.9921</v>
      </c>
      <c r="J51" s="38"/>
      <c r="K51" s="141"/>
      <c r="L51" s="142"/>
      <c r="M51" s="143">
        <f t="shared" ref="M51:M62" si="13">+I51/$I$514</f>
        <v>0.15340408881218798</v>
      </c>
      <c r="N51" s="144"/>
      <c r="O51" s="38"/>
      <c r="P51" s="283">
        <f>SUMPRODUCT( P52:P58,$M$52:$M$58)</f>
        <v>0</v>
      </c>
      <c r="Q51" s="537">
        <f>+P51/$M$51</f>
        <v>0</v>
      </c>
      <c r="R51" s="283">
        <f>SUMPRODUCT( R52:R58,$M$52:$M$58)</f>
        <v>2.5962940229130167E-2</v>
      </c>
      <c r="S51" s="537">
        <f>+R51/$M$51</f>
        <v>0.16924542513932919</v>
      </c>
      <c r="T51" s="256">
        <f>SUMPRODUCT( T52:T58,$M$52:$M$58)</f>
        <v>0.1411168883110894</v>
      </c>
      <c r="U51" s="576">
        <f>+T51/$M$51</f>
        <v>0.91990304433057357</v>
      </c>
      <c r="V51" s="283">
        <f>SUMPRODUCT( V52:V58,$M$52:$M$58)</f>
        <v>0.15340408881218801</v>
      </c>
      <c r="W51" s="537">
        <f>+V51/$M$51</f>
        <v>1.0000000000000002</v>
      </c>
      <c r="X51" s="283">
        <f>SUMPRODUCT( X52:X58,$M$52:$M$58)</f>
        <v>0.15340408881218801</v>
      </c>
      <c r="Y51" s="537">
        <f>+X51/$M$51</f>
        <v>1.0000000000000002</v>
      </c>
    </row>
    <row r="52" spans="1:25" ht="12" customHeight="1">
      <c r="B52" s="85" t="s">
        <v>3</v>
      </c>
      <c r="C52" s="94" t="s">
        <v>294</v>
      </c>
      <c r="D52" s="95">
        <v>21648</v>
      </c>
      <c r="E52" s="354" t="s">
        <v>4</v>
      </c>
      <c r="F52" s="341">
        <f t="shared" si="2"/>
        <v>0</v>
      </c>
      <c r="G52" s="376">
        <v>0</v>
      </c>
      <c r="H52" s="307">
        <v>5.42</v>
      </c>
      <c r="I52" s="92">
        <f t="shared" ref="I52:I58" si="14">$D52*$H52</f>
        <v>117332.16</v>
      </c>
      <c r="J52" s="39"/>
      <c r="K52" s="62">
        <f>+I52/I$51</f>
        <v>0.76253097395234148</v>
      </c>
      <c r="L52" s="63">
        <f>+K52</f>
        <v>0.76253097395234148</v>
      </c>
      <c r="M52" s="63">
        <f t="shared" si="13"/>
        <v>0.11697536925022919</v>
      </c>
      <c r="N52" s="123">
        <f>+M52</f>
        <v>0.11697536925022919</v>
      </c>
      <c r="O52" s="39"/>
      <c r="P52" s="258">
        <v>0</v>
      </c>
      <c r="Q52" s="535"/>
      <c r="R52" s="258">
        <v>0.2</v>
      </c>
      <c r="S52" s="535"/>
      <c r="T52" s="244">
        <v>1</v>
      </c>
      <c r="U52" s="559"/>
      <c r="V52" s="258">
        <v>1</v>
      </c>
      <c r="W52" s="535"/>
      <c r="X52" s="258">
        <v>1</v>
      </c>
      <c r="Y52" s="535"/>
    </row>
    <row r="53" spans="1:25" ht="12" customHeight="1">
      <c r="B53" s="86" t="s">
        <v>5</v>
      </c>
      <c r="C53" s="96" t="s">
        <v>6</v>
      </c>
      <c r="D53" s="97">
        <v>1121.82</v>
      </c>
      <c r="E53" s="350" t="s">
        <v>7</v>
      </c>
      <c r="F53" s="339">
        <f t="shared" si="2"/>
        <v>1.6222289092147297</v>
      </c>
      <c r="G53" s="372">
        <f>I528*M53*0.35</f>
        <v>1819.8488349352681</v>
      </c>
      <c r="H53" s="308">
        <v>19.010000000000002</v>
      </c>
      <c r="I53" s="114">
        <f t="shared" si="14"/>
        <v>21325.798200000001</v>
      </c>
      <c r="J53" s="39"/>
      <c r="K53" s="62">
        <f t="shared" ref="K53:K58" si="15">+I53/I$51</f>
        <v>0.1385944115556817</v>
      </c>
      <c r="L53" s="63">
        <f t="shared" ref="L53:L58" si="16">+K53+L52</f>
        <v>0.90112538550802324</v>
      </c>
      <c r="M53" s="63">
        <f t="shared" si="13"/>
        <v>2.1260949419160725E-2</v>
      </c>
      <c r="N53" s="123">
        <f t="shared" ref="N53:N58" si="17">+M53+N52</f>
        <v>0.13823631866938993</v>
      </c>
      <c r="O53" s="39"/>
      <c r="P53" s="258">
        <v>0</v>
      </c>
      <c r="Q53" s="535"/>
      <c r="R53" s="258">
        <v>0</v>
      </c>
      <c r="S53" s="535"/>
      <c r="T53" s="244">
        <v>0.7</v>
      </c>
      <c r="U53" s="559"/>
      <c r="V53" s="258">
        <v>1</v>
      </c>
      <c r="W53" s="535"/>
      <c r="X53" s="258">
        <v>1</v>
      </c>
      <c r="Y53" s="535"/>
    </row>
    <row r="54" spans="1:25" ht="12" customHeight="1">
      <c r="B54" s="86" t="s">
        <v>8</v>
      </c>
      <c r="C54" s="96" t="s">
        <v>9</v>
      </c>
      <c r="D54" s="97">
        <v>104.25</v>
      </c>
      <c r="E54" s="350" t="s">
        <v>10</v>
      </c>
      <c r="F54" s="339">
        <f t="shared" si="2"/>
        <v>4.0839158682417871</v>
      </c>
      <c r="G54" s="372">
        <f>I528*M54</f>
        <v>425.74822926420626</v>
      </c>
      <c r="H54" s="308">
        <v>16.75</v>
      </c>
      <c r="I54" s="114">
        <f t="shared" si="14"/>
        <v>1746.1875</v>
      </c>
      <c r="J54" s="39"/>
      <c r="K54" s="62">
        <f t="shared" si="15"/>
        <v>1.1348312816182744E-2</v>
      </c>
      <c r="L54" s="63">
        <f t="shared" si="16"/>
        <v>0.912473698324206</v>
      </c>
      <c r="M54" s="63">
        <f t="shared" si="13"/>
        <v>1.7408775871221888E-3</v>
      </c>
      <c r="N54" s="123">
        <f t="shared" si="17"/>
        <v>0.13997719625651212</v>
      </c>
      <c r="O54" s="39"/>
      <c r="P54" s="258">
        <v>0</v>
      </c>
      <c r="Q54" s="535"/>
      <c r="R54" s="258">
        <v>0</v>
      </c>
      <c r="S54" s="535"/>
      <c r="T54" s="244">
        <v>0.7</v>
      </c>
      <c r="U54" s="559"/>
      <c r="V54" s="258">
        <v>1</v>
      </c>
      <c r="W54" s="535"/>
      <c r="X54" s="258">
        <v>1</v>
      </c>
      <c r="Y54" s="535"/>
    </row>
    <row r="55" spans="1:25" ht="12" customHeight="1">
      <c r="B55" s="86" t="s">
        <v>11</v>
      </c>
      <c r="C55" s="96" t="s">
        <v>12</v>
      </c>
      <c r="D55" s="97">
        <v>1121.82</v>
      </c>
      <c r="E55" s="350" t="s">
        <v>13</v>
      </c>
      <c r="F55" s="339">
        <f t="shared" si="2"/>
        <v>0.55224295173538196</v>
      </c>
      <c r="G55" s="372">
        <f>I528*M55*0.5</f>
        <v>619.5171881157861</v>
      </c>
      <c r="H55" s="308">
        <v>4.53</v>
      </c>
      <c r="I55" s="114">
        <f t="shared" si="14"/>
        <v>5081.8446000000004</v>
      </c>
      <c r="J55" s="39"/>
      <c r="K55" s="62">
        <f t="shared" si="15"/>
        <v>3.3026443153458075E-2</v>
      </c>
      <c r="L55" s="63">
        <f t="shared" si="16"/>
        <v>0.94550014147766404</v>
      </c>
      <c r="M55" s="63">
        <f t="shared" si="13"/>
        <v>5.0663914186637607E-3</v>
      </c>
      <c r="N55" s="123">
        <f t="shared" si="17"/>
        <v>0.14504358767517589</v>
      </c>
      <c r="O55" s="39"/>
      <c r="P55" s="258">
        <v>0</v>
      </c>
      <c r="Q55" s="535"/>
      <c r="R55" s="258">
        <v>0</v>
      </c>
      <c r="S55" s="535"/>
      <c r="T55" s="244">
        <v>0.7</v>
      </c>
      <c r="U55" s="559"/>
      <c r="V55" s="258">
        <v>1</v>
      </c>
      <c r="W55" s="535"/>
      <c r="X55" s="258">
        <v>1</v>
      </c>
      <c r="Y55" s="535"/>
    </row>
    <row r="56" spans="1:25" ht="12" customHeight="1">
      <c r="B56" s="86" t="s">
        <v>14</v>
      </c>
      <c r="C56" s="96" t="s">
        <v>15</v>
      </c>
      <c r="D56" s="97">
        <v>196.9</v>
      </c>
      <c r="E56" s="350" t="s">
        <v>16</v>
      </c>
      <c r="F56" s="339">
        <f t="shared" si="2"/>
        <v>2.0358625373026218</v>
      </c>
      <c r="G56" s="372">
        <f>I528*M56</f>
        <v>400.86133359488622</v>
      </c>
      <c r="H56" s="308">
        <v>8.35</v>
      </c>
      <c r="I56" s="114">
        <f t="shared" si="14"/>
        <v>1644.115</v>
      </c>
      <c r="J56" s="39"/>
      <c r="K56" s="62">
        <f t="shared" si="15"/>
        <v>1.068495297657227E-2</v>
      </c>
      <c r="L56" s="63">
        <f t="shared" si="16"/>
        <v>0.95618509445423627</v>
      </c>
      <c r="M56" s="63">
        <f t="shared" si="13"/>
        <v>1.6391154753721449E-3</v>
      </c>
      <c r="N56" s="123">
        <f t="shared" si="17"/>
        <v>0.14668270315054804</v>
      </c>
      <c r="O56" s="39"/>
      <c r="P56" s="258">
        <v>0</v>
      </c>
      <c r="Q56" s="535"/>
      <c r="R56" s="258">
        <v>0</v>
      </c>
      <c r="S56" s="535"/>
      <c r="T56" s="244">
        <v>0</v>
      </c>
      <c r="U56" s="559"/>
      <c r="V56" s="258">
        <v>1</v>
      </c>
      <c r="W56" s="535"/>
      <c r="X56" s="258">
        <v>1</v>
      </c>
      <c r="Y56" s="535"/>
    </row>
    <row r="57" spans="1:25" ht="12" customHeight="1">
      <c r="B57" s="86" t="s">
        <v>17</v>
      </c>
      <c r="C57" s="96" t="s">
        <v>18</v>
      </c>
      <c r="D57" s="97">
        <v>1121.82</v>
      </c>
      <c r="E57" s="350" t="s">
        <v>19</v>
      </c>
      <c r="F57" s="339">
        <f t="shared" si="2"/>
        <v>0</v>
      </c>
      <c r="G57" s="372">
        <v>0</v>
      </c>
      <c r="H57" s="308">
        <v>5.74</v>
      </c>
      <c r="I57" s="114">
        <f t="shared" si="14"/>
        <v>6439.2467999999999</v>
      </c>
      <c r="J57" s="39"/>
      <c r="K57" s="62">
        <f t="shared" si="15"/>
        <v>4.1848075872152175E-2</v>
      </c>
      <c r="L57" s="63">
        <f t="shared" si="16"/>
        <v>0.9980331703263885</v>
      </c>
      <c r="M57" s="63">
        <f t="shared" si="13"/>
        <v>6.4196659477108132E-3</v>
      </c>
      <c r="N57" s="123">
        <f t="shared" si="17"/>
        <v>0.15310236909825886</v>
      </c>
      <c r="O57" s="39"/>
      <c r="P57" s="258">
        <v>0</v>
      </c>
      <c r="Q57" s="535"/>
      <c r="R57" s="258">
        <v>0.4</v>
      </c>
      <c r="S57" s="535"/>
      <c r="T57" s="244">
        <v>0.7</v>
      </c>
      <c r="U57" s="559"/>
      <c r="V57" s="258">
        <v>1</v>
      </c>
      <c r="W57" s="535"/>
      <c r="X57" s="258">
        <v>1</v>
      </c>
      <c r="Y57" s="535"/>
    </row>
    <row r="58" spans="1:25" ht="12" customHeight="1" thickBot="1">
      <c r="B58" s="87" t="s">
        <v>20</v>
      </c>
      <c r="C58" s="98" t="s">
        <v>21</v>
      </c>
      <c r="D58" s="99">
        <v>24</v>
      </c>
      <c r="E58" s="355" t="s">
        <v>22</v>
      </c>
      <c r="F58" s="340">
        <f t="shared" si="2"/>
        <v>3.074518155136055</v>
      </c>
      <c r="G58" s="373">
        <f>I528*M58</f>
        <v>73.788435723265323</v>
      </c>
      <c r="H58" s="309">
        <v>12.61</v>
      </c>
      <c r="I58" s="90">
        <f t="shared" si="14"/>
        <v>302.64</v>
      </c>
      <c r="J58" s="39"/>
      <c r="K58" s="115">
        <f t="shared" si="15"/>
        <v>1.966829673611537E-3</v>
      </c>
      <c r="L58" s="116">
        <f t="shared" si="16"/>
        <v>1</v>
      </c>
      <c r="M58" s="116">
        <f t="shared" si="13"/>
        <v>3.0171971392915092E-4</v>
      </c>
      <c r="N58" s="134">
        <f t="shared" si="17"/>
        <v>0.15340408881218801</v>
      </c>
      <c r="O58" s="135"/>
      <c r="P58" s="280">
        <v>0</v>
      </c>
      <c r="Q58" s="536"/>
      <c r="R58" s="258">
        <v>0</v>
      </c>
      <c r="S58" s="536"/>
      <c r="T58" s="244">
        <v>0</v>
      </c>
      <c r="U58" s="560"/>
      <c r="V58" s="258">
        <v>1</v>
      </c>
      <c r="W58" s="536"/>
      <c r="X58" s="258">
        <v>1</v>
      </c>
      <c r="Y58" s="536"/>
    </row>
    <row r="59" spans="1:25" s="6" customFormat="1" ht="12.75" customHeight="1">
      <c r="A59" s="291" t="s">
        <v>70</v>
      </c>
      <c r="B59" s="33" t="s">
        <v>23</v>
      </c>
      <c r="C59" s="100" t="s">
        <v>24</v>
      </c>
      <c r="D59" s="101"/>
      <c r="E59" s="356"/>
      <c r="F59" s="395">
        <f>+G59/D$3</f>
        <v>21.229746671596601</v>
      </c>
      <c r="G59" s="374">
        <f>+G60+G67+G72</f>
        <v>19548.563032672864</v>
      </c>
      <c r="H59" s="310"/>
      <c r="I59" s="54">
        <f>+I60+I67+I72</f>
        <v>83176.638599999991</v>
      </c>
      <c r="J59" s="38"/>
      <c r="K59" s="562" t="str">
        <f>+C59</f>
        <v>Pavimentação</v>
      </c>
      <c r="L59" s="563"/>
      <c r="M59" s="164">
        <f t="shared" si="13"/>
        <v>8.2923710031655995E-2</v>
      </c>
      <c r="N59" s="73"/>
      <c r="O59" s="38"/>
      <c r="P59" s="297">
        <f>+P60+P67+P72</f>
        <v>0</v>
      </c>
      <c r="Q59" s="296">
        <f>+P59/$M$59</f>
        <v>0</v>
      </c>
      <c r="R59" s="297">
        <f>+R60+R67+R72</f>
        <v>1.1132484411865675E-4</v>
      </c>
      <c r="S59" s="296">
        <f>+R59/$M$59</f>
        <v>1.3424971467890024E-3</v>
      </c>
      <c r="T59" s="295">
        <f>+T60+T67+T72</f>
        <v>1.1132484411865675E-4</v>
      </c>
      <c r="U59" s="253">
        <f>+T59/$M$59</f>
        <v>1.3424971467890024E-3</v>
      </c>
      <c r="V59" s="297">
        <f>+V60+V67+V72</f>
        <v>5.8346485501602027E-2</v>
      </c>
      <c r="W59" s="296">
        <f>+V59/$M$59</f>
        <v>0.7036164382819865</v>
      </c>
      <c r="X59" s="297">
        <f>+X60+X67+X72</f>
        <v>5.8346485501602027E-2</v>
      </c>
      <c r="Y59" s="296">
        <f>+X59/$M$59</f>
        <v>0.7036164382819865</v>
      </c>
    </row>
    <row r="60" spans="1:25" ht="12.75" customHeight="1">
      <c r="A60" s="291" t="s">
        <v>70</v>
      </c>
      <c r="B60" s="35"/>
      <c r="C60" s="104" t="s">
        <v>478</v>
      </c>
      <c r="D60" s="105"/>
      <c r="E60" s="358"/>
      <c r="F60" s="394">
        <f>+G60/D$3</f>
        <v>14.702238467437859</v>
      </c>
      <c r="G60" s="375">
        <f>SUM(G61:G66)</f>
        <v>13537.968203201453</v>
      </c>
      <c r="H60" s="312"/>
      <c r="I60" s="56">
        <f>SUM(I61:I66)</f>
        <v>58524.450199999992</v>
      </c>
      <c r="J60" s="39"/>
      <c r="K60" s="566" t="str">
        <f>+C60</f>
        <v>Pav. Interna</v>
      </c>
      <c r="L60" s="567"/>
      <c r="M60" s="163">
        <f t="shared" si="13"/>
        <v>5.8346485501602027E-2</v>
      </c>
      <c r="N60" s="162"/>
      <c r="O60" s="38"/>
      <c r="P60" s="272">
        <f>SUMPRODUCT( P61:P66,$M$61:$M$66)</f>
        <v>0</v>
      </c>
      <c r="Q60" s="516">
        <f>+P60/$M$60</f>
        <v>0</v>
      </c>
      <c r="R60" s="272">
        <f>SUMPRODUCT( R61:R66,$M$61:$M$66)</f>
        <v>1.1132484411865675E-4</v>
      </c>
      <c r="S60" s="516">
        <f>+R60/$M$60</f>
        <v>1.9079957115086235E-3</v>
      </c>
      <c r="T60" s="255">
        <f>SUMPRODUCT( T61:T66,$M$61:$M$66)</f>
        <v>1.1132484411865675E-4</v>
      </c>
      <c r="U60" s="561">
        <f>+T60/$M$60</f>
        <v>1.9079957115086235E-3</v>
      </c>
      <c r="V60" s="272">
        <f>SUMPRODUCT( V61:V66,$M$61:$M$66)</f>
        <v>5.8346485501602027E-2</v>
      </c>
      <c r="W60" s="516">
        <f>+V60/$M$60</f>
        <v>1</v>
      </c>
      <c r="X60" s="272">
        <f>SUMPRODUCT( X61:X66,$M$61:$M$66)</f>
        <v>5.8346485501602027E-2</v>
      </c>
      <c r="Y60" s="516">
        <f>+X60/$M$60</f>
        <v>1</v>
      </c>
    </row>
    <row r="61" spans="1:25" ht="12.75" customHeight="1">
      <c r="B61" s="86" t="s">
        <v>25</v>
      </c>
      <c r="C61" s="96" t="s">
        <v>26</v>
      </c>
      <c r="D61" s="97">
        <v>42.62</v>
      </c>
      <c r="E61" s="350" t="s">
        <v>27</v>
      </c>
      <c r="F61" s="346">
        <f t="shared" si="2"/>
        <v>0.63879758655483465</v>
      </c>
      <c r="G61" s="372">
        <f>I528*M61</f>
        <v>27.225553138967051</v>
      </c>
      <c r="H61" s="308">
        <v>2.62</v>
      </c>
      <c r="I61" s="114">
        <f t="shared" ref="I61:I66" si="18">$D61*$H61</f>
        <v>111.6644</v>
      </c>
      <c r="J61" s="39"/>
      <c r="K61" s="23">
        <f t="shared" ref="K61:K66" si="19">+I61/$I$60</f>
        <v>1.9079957115086237E-3</v>
      </c>
      <c r="L61" s="25">
        <f>+K61</f>
        <v>1.9079957115086237E-3</v>
      </c>
      <c r="M61" s="26">
        <f t="shared" si="13"/>
        <v>1.1132484411865675E-4</v>
      </c>
      <c r="N61" s="74">
        <f>+M61</f>
        <v>1.1132484411865675E-4</v>
      </c>
      <c r="O61" s="39"/>
      <c r="P61" s="257">
        <v>0</v>
      </c>
      <c r="Q61" s="516"/>
      <c r="R61" s="257">
        <v>1</v>
      </c>
      <c r="S61" s="516"/>
      <c r="T61" s="257">
        <v>1</v>
      </c>
      <c r="U61" s="561"/>
      <c r="V61" s="257">
        <v>1</v>
      </c>
      <c r="W61" s="516"/>
      <c r="X61" s="257">
        <v>1</v>
      </c>
      <c r="Y61" s="516"/>
    </row>
    <row r="62" spans="1:25" ht="12.75" customHeight="1">
      <c r="B62" s="86" t="s">
        <v>28</v>
      </c>
      <c r="C62" s="96" t="s">
        <v>29</v>
      </c>
      <c r="D62" s="97">
        <v>42.62</v>
      </c>
      <c r="E62" s="350" t="s">
        <v>30</v>
      </c>
      <c r="F62" s="339">
        <f t="shared" si="2"/>
        <v>10.054966591420374</v>
      </c>
      <c r="G62" s="372">
        <f>I528*M62</f>
        <v>428.54267612633635</v>
      </c>
      <c r="H62" s="308">
        <v>41.24</v>
      </c>
      <c r="I62" s="114">
        <f t="shared" si="18"/>
        <v>1757.6487999999999</v>
      </c>
      <c r="J62" s="39"/>
      <c r="K62" s="62">
        <f t="shared" si="19"/>
        <v>3.0032726390311314E-2</v>
      </c>
      <c r="L62" s="63">
        <f>+L61+K62</f>
        <v>3.1940722101819939E-2</v>
      </c>
      <c r="M62" s="64">
        <f t="shared" si="13"/>
        <v>1.7523040349058795E-3</v>
      </c>
      <c r="N62" s="75">
        <f>+N61+M62</f>
        <v>1.8636288790245363E-3</v>
      </c>
      <c r="O62" s="39"/>
      <c r="P62" s="258">
        <v>0</v>
      </c>
      <c r="Q62" s="516"/>
      <c r="R62" s="257">
        <v>0</v>
      </c>
      <c r="S62" s="516"/>
      <c r="T62" s="257">
        <v>0</v>
      </c>
      <c r="U62" s="561"/>
      <c r="V62" s="257">
        <v>1</v>
      </c>
      <c r="W62" s="516"/>
      <c r="X62" s="257">
        <v>1</v>
      </c>
      <c r="Y62" s="516"/>
    </row>
    <row r="63" spans="1:25" ht="12" customHeight="1">
      <c r="B63" s="86" t="s">
        <v>31</v>
      </c>
      <c r="C63" s="96" t="s">
        <v>32</v>
      </c>
      <c r="D63" s="97">
        <v>837.73</v>
      </c>
      <c r="E63" s="350" t="s">
        <v>33</v>
      </c>
      <c r="F63" s="339">
        <f t="shared" si="2"/>
        <v>5.7052914219019586</v>
      </c>
      <c r="G63" s="372">
        <f>I528*M63*0.75</f>
        <v>4779.4937828699276</v>
      </c>
      <c r="H63" s="308">
        <v>31.2</v>
      </c>
      <c r="I63" s="114">
        <f t="shared" si="18"/>
        <v>26137.175999999999</v>
      </c>
      <c r="J63" s="39"/>
      <c r="K63" s="23">
        <f t="shared" si="19"/>
        <v>0.4466026747911252</v>
      </c>
      <c r="L63" s="63">
        <f>+L62+K63</f>
        <v>0.47854339689294512</v>
      </c>
      <c r="M63" s="26">
        <f t="shared" ref="M63:M69" si="20">+I63/$I$514</f>
        <v>2.6057696489677071E-2</v>
      </c>
      <c r="N63" s="74">
        <f>+N62+M63</f>
        <v>2.7921325368701608E-2</v>
      </c>
      <c r="O63" s="39"/>
      <c r="P63" s="257">
        <v>0</v>
      </c>
      <c r="Q63" s="516"/>
      <c r="R63" s="257">
        <v>0</v>
      </c>
      <c r="S63" s="516"/>
      <c r="T63" s="257">
        <v>0</v>
      </c>
      <c r="U63" s="561"/>
      <c r="V63" s="257">
        <v>1</v>
      </c>
      <c r="W63" s="516"/>
      <c r="X63" s="257">
        <v>1</v>
      </c>
      <c r="Y63" s="516"/>
    </row>
    <row r="64" spans="1:25" ht="12" customHeight="1">
      <c r="B64" s="86" t="s">
        <v>34</v>
      </c>
      <c r="C64" s="96" t="s">
        <v>1309</v>
      </c>
      <c r="D64" s="97">
        <v>837.73</v>
      </c>
      <c r="E64" s="350" t="s">
        <v>35</v>
      </c>
      <c r="F64" s="339">
        <f t="shared" si="2"/>
        <v>3.0867089487725972</v>
      </c>
      <c r="G64" s="372">
        <f>I528*M64*1.5</f>
        <v>2585.8286876552679</v>
      </c>
      <c r="H64" s="308">
        <v>8.44</v>
      </c>
      <c r="I64" s="114">
        <f t="shared" si="18"/>
        <v>7070.4411999999993</v>
      </c>
      <c r="J64" s="39"/>
      <c r="K64" s="62">
        <f t="shared" si="19"/>
        <v>0.1208117492063172</v>
      </c>
      <c r="L64" s="63">
        <f>+L63+K64</f>
        <v>0.59935514609926233</v>
      </c>
      <c r="M64" s="64">
        <f t="shared" si="20"/>
        <v>7.0489409734895659E-3</v>
      </c>
      <c r="N64" s="75">
        <f>+N63+M64</f>
        <v>3.4970266342191171E-2</v>
      </c>
      <c r="O64" s="39"/>
      <c r="P64" s="258">
        <v>0</v>
      </c>
      <c r="Q64" s="516"/>
      <c r="R64" s="257">
        <v>0</v>
      </c>
      <c r="S64" s="516"/>
      <c r="T64" s="257">
        <v>0</v>
      </c>
      <c r="U64" s="561"/>
      <c r="V64" s="257">
        <v>1</v>
      </c>
      <c r="W64" s="516"/>
      <c r="X64" s="257">
        <v>1</v>
      </c>
      <c r="Y64" s="516"/>
    </row>
    <row r="65" spans="1:25" ht="12" customHeight="1">
      <c r="B65" s="86" t="s">
        <v>36</v>
      </c>
      <c r="C65" s="96" t="s">
        <v>1310</v>
      </c>
      <c r="D65" s="97">
        <v>837.73</v>
      </c>
      <c r="E65" s="350" t="s">
        <v>37</v>
      </c>
      <c r="F65" s="339">
        <f t="shared" si="2"/>
        <v>5.5394966284449785</v>
      </c>
      <c r="G65" s="372">
        <f>I528*M65</f>
        <v>4640.6025105472118</v>
      </c>
      <c r="H65" s="308">
        <v>22.72</v>
      </c>
      <c r="I65" s="114">
        <f t="shared" si="18"/>
        <v>19033.225599999998</v>
      </c>
      <c r="J65" s="39"/>
      <c r="K65" s="23">
        <f t="shared" si="19"/>
        <v>0.32521835805302451</v>
      </c>
      <c r="L65" s="63">
        <f>+L64+K65</f>
        <v>0.9245735041522869</v>
      </c>
      <c r="M65" s="26">
        <f t="shared" si="20"/>
        <v>1.897534821299561E-2</v>
      </c>
      <c r="N65" s="74">
        <f>+N64+M65</f>
        <v>5.3945614555186781E-2</v>
      </c>
      <c r="O65" s="39"/>
      <c r="P65" s="257">
        <v>0</v>
      </c>
      <c r="Q65" s="516"/>
      <c r="R65" s="257">
        <v>0</v>
      </c>
      <c r="S65" s="516"/>
      <c r="T65" s="257">
        <v>0</v>
      </c>
      <c r="U65" s="561"/>
      <c r="V65" s="257">
        <v>1</v>
      </c>
      <c r="W65" s="516"/>
      <c r="X65" s="257">
        <v>1</v>
      </c>
      <c r="Y65" s="516"/>
    </row>
    <row r="66" spans="1:25" ht="12" customHeight="1">
      <c r="B66" s="86" t="s">
        <v>38</v>
      </c>
      <c r="C66" s="96" t="s">
        <v>1311</v>
      </c>
      <c r="D66" s="97">
        <v>567.39</v>
      </c>
      <c r="E66" s="350" t="s">
        <v>39</v>
      </c>
      <c r="F66" s="345">
        <f t="shared" si="2"/>
        <v>1.8968874898460362</v>
      </c>
      <c r="G66" s="372">
        <f>I528*M66</f>
        <v>1076.2749928637425</v>
      </c>
      <c r="H66" s="308">
        <v>7.78</v>
      </c>
      <c r="I66" s="114">
        <f t="shared" si="18"/>
        <v>4414.2942000000003</v>
      </c>
      <c r="J66" s="39"/>
      <c r="K66" s="165">
        <f t="shared" si="19"/>
        <v>7.5426495847713243E-2</v>
      </c>
      <c r="L66" s="166">
        <f>+L65+K66</f>
        <v>1.0000000000000002</v>
      </c>
      <c r="M66" s="64">
        <f t="shared" si="20"/>
        <v>4.4008709464152468E-3</v>
      </c>
      <c r="N66" s="157">
        <f>+N65+M66</f>
        <v>5.8346485501602027E-2</v>
      </c>
      <c r="O66" s="39"/>
      <c r="P66" s="259">
        <v>0</v>
      </c>
      <c r="Q66" s="516"/>
      <c r="R66" s="257">
        <v>0</v>
      </c>
      <c r="S66" s="516"/>
      <c r="T66" s="257">
        <v>0</v>
      </c>
      <c r="U66" s="561"/>
      <c r="V66" s="257">
        <v>1</v>
      </c>
      <c r="W66" s="516"/>
      <c r="X66" s="257">
        <v>1</v>
      </c>
      <c r="Y66" s="516"/>
    </row>
    <row r="67" spans="1:25" ht="12.75" customHeight="1">
      <c r="A67" s="291" t="s">
        <v>70</v>
      </c>
      <c r="B67" s="35"/>
      <c r="C67" s="104" t="s">
        <v>74</v>
      </c>
      <c r="D67" s="105"/>
      <c r="E67" s="358"/>
      <c r="F67" s="394">
        <f>+G67/D$3</f>
        <v>1.4761390764979698</v>
      </c>
      <c r="G67" s="375">
        <f>SUM(G68:G71)</f>
        <v>1359.2436230300955</v>
      </c>
      <c r="H67" s="312"/>
      <c r="I67" s="56">
        <f>SUM(I68:I71)</f>
        <v>5574.8774999999996</v>
      </c>
      <c r="J67" s="39"/>
      <c r="K67" s="550" t="str">
        <f>+C67</f>
        <v>Soleiras e Granitos</v>
      </c>
      <c r="L67" s="551"/>
      <c r="M67" s="167">
        <f t="shared" si="20"/>
        <v>5.5579250743129126E-3</v>
      </c>
      <c r="N67" s="168"/>
      <c r="O67" s="38"/>
      <c r="P67" s="272">
        <f>SUMPRODUCT( P68:P71,$M$68:$M$71)</f>
        <v>0</v>
      </c>
      <c r="Q67" s="516">
        <f>+P67/$M$67</f>
        <v>0</v>
      </c>
      <c r="R67" s="272">
        <f>SUMPRODUCT( R68:R71,$M$68:$M$71)</f>
        <v>0</v>
      </c>
      <c r="S67" s="516">
        <f>+R67/$M$67</f>
        <v>0</v>
      </c>
      <c r="T67" s="255">
        <f>SUMPRODUCT( T68:T71,$M$68:$M$71)</f>
        <v>0</v>
      </c>
      <c r="U67" s="561">
        <f>+T67/$M$67</f>
        <v>0</v>
      </c>
      <c r="V67" s="272">
        <f>SUMPRODUCT( V68:V71,$M$68:$M$71)</f>
        <v>0</v>
      </c>
      <c r="W67" s="516">
        <f>+V67/$M$67</f>
        <v>0</v>
      </c>
      <c r="X67" s="272">
        <f>SUMPRODUCT( X68:X71,$M$68:$M$71)</f>
        <v>0</v>
      </c>
      <c r="Y67" s="516">
        <f>+X67/$M$67</f>
        <v>0</v>
      </c>
    </row>
    <row r="68" spans="1:25" ht="25.5" customHeight="1">
      <c r="B68" s="86" t="s">
        <v>40</v>
      </c>
      <c r="C68" s="96" t="s">
        <v>472</v>
      </c>
      <c r="D68" s="97">
        <v>2.79</v>
      </c>
      <c r="E68" s="350" t="s">
        <v>41</v>
      </c>
      <c r="F68" s="346">
        <f t="shared" si="2"/>
        <v>41.55841550697388</v>
      </c>
      <c r="G68" s="372">
        <f>I528*M68</f>
        <v>115.94797926445712</v>
      </c>
      <c r="H68" s="308">
        <v>170.45</v>
      </c>
      <c r="I68" s="114">
        <f>$D68*$H68</f>
        <v>475.55549999999999</v>
      </c>
      <c r="J68" s="39"/>
      <c r="K68" s="23">
        <f>+I68/$I$67</f>
        <v>8.5303309355227994E-2</v>
      </c>
      <c r="L68" s="25">
        <f>+K68</f>
        <v>8.5303309355227994E-2</v>
      </c>
      <c r="M68" s="26">
        <f t="shared" si="20"/>
        <v>4.7410940198729291E-4</v>
      </c>
      <c r="N68" s="74">
        <f>+M68</f>
        <v>4.7410940198729291E-4</v>
      </c>
      <c r="O68" s="39"/>
      <c r="P68" s="257">
        <v>0</v>
      </c>
      <c r="Q68" s="516"/>
      <c r="R68" s="257">
        <v>0</v>
      </c>
      <c r="S68" s="516"/>
      <c r="T68" s="243">
        <v>0</v>
      </c>
      <c r="U68" s="561"/>
      <c r="V68" s="257">
        <v>0</v>
      </c>
      <c r="W68" s="516"/>
      <c r="X68" s="257">
        <v>0</v>
      </c>
      <c r="Y68" s="516"/>
    </row>
    <row r="69" spans="1:25" ht="25.5" customHeight="1">
      <c r="B69" s="86" t="s">
        <v>42</v>
      </c>
      <c r="C69" s="96" t="s">
        <v>473</v>
      </c>
      <c r="D69" s="97">
        <v>38.950000000000003</v>
      </c>
      <c r="E69" s="350" t="s">
        <v>43</v>
      </c>
      <c r="F69" s="339">
        <f t="shared" si="2"/>
        <v>9.3625295128647519</v>
      </c>
      <c r="G69" s="372">
        <f>I528*M69</f>
        <v>364.67052452608209</v>
      </c>
      <c r="H69" s="308">
        <v>38.4</v>
      </c>
      <c r="I69" s="114">
        <f>$D69*$H69</f>
        <v>1495.68</v>
      </c>
      <c r="J69" s="39"/>
      <c r="K69" s="62">
        <f>+I69/$I$67</f>
        <v>0.26828930321787342</v>
      </c>
      <c r="L69" s="63">
        <f>+L68+K69</f>
        <v>0.35359261257310143</v>
      </c>
      <c r="M69" s="64">
        <f t="shared" si="20"/>
        <v>1.4911318455245587E-3</v>
      </c>
      <c r="N69" s="75">
        <f>+N68+M69</f>
        <v>1.9652412475118517E-3</v>
      </c>
      <c r="O69" s="39"/>
      <c r="P69" s="258">
        <v>0</v>
      </c>
      <c r="Q69" s="516"/>
      <c r="R69" s="257">
        <v>0</v>
      </c>
      <c r="S69" s="516"/>
      <c r="T69" s="243">
        <v>0</v>
      </c>
      <c r="U69" s="561"/>
      <c r="V69" s="257">
        <v>0</v>
      </c>
      <c r="W69" s="516"/>
      <c r="X69" s="257">
        <v>0</v>
      </c>
      <c r="Y69" s="516"/>
    </row>
    <row r="70" spans="1:25" ht="21.75" customHeight="1">
      <c r="B70" s="86" t="s">
        <v>44</v>
      </c>
      <c r="C70" s="96" t="s">
        <v>474</v>
      </c>
      <c r="D70" s="97">
        <v>5.16</v>
      </c>
      <c r="E70" s="350" t="s">
        <v>45</v>
      </c>
      <c r="F70" s="339">
        <f t="shared" si="2"/>
        <v>41.558415506973873</v>
      </c>
      <c r="G70" s="372">
        <f>I528*M70</f>
        <v>214.44142401598521</v>
      </c>
      <c r="H70" s="308">
        <v>170.45</v>
      </c>
      <c r="I70" s="114">
        <f>$D70*$H70</f>
        <v>879.52199999999993</v>
      </c>
      <c r="J70" s="39"/>
      <c r="K70" s="23">
        <f>+I70/$I$67</f>
        <v>0.15776526031289476</v>
      </c>
      <c r="L70" s="63">
        <f>+L69+K70</f>
        <v>0.51135787288599621</v>
      </c>
      <c r="M70" s="26">
        <f t="shared" ref="M70:M79" si="21">+I70/$I$514</f>
        <v>8.7684749614854167E-4</v>
      </c>
      <c r="N70" s="75">
        <f>+N69+M70</f>
        <v>2.8420887436603932E-3</v>
      </c>
      <c r="O70" s="39"/>
      <c r="P70" s="258">
        <v>0</v>
      </c>
      <c r="Q70" s="516"/>
      <c r="R70" s="257">
        <v>0</v>
      </c>
      <c r="S70" s="516"/>
      <c r="T70" s="243">
        <v>0</v>
      </c>
      <c r="U70" s="561"/>
      <c r="V70" s="257">
        <v>0</v>
      </c>
      <c r="W70" s="516"/>
      <c r="X70" s="257">
        <v>0</v>
      </c>
      <c r="Y70" s="516"/>
    </row>
    <row r="71" spans="1:25" ht="25.5" customHeight="1">
      <c r="B71" s="86" t="s">
        <v>46</v>
      </c>
      <c r="C71" s="96" t="s">
        <v>475</v>
      </c>
      <c r="D71" s="97">
        <v>69</v>
      </c>
      <c r="E71" s="350" t="s">
        <v>47</v>
      </c>
      <c r="F71" s="345">
        <f t="shared" ref="F71:F134" si="22">+G71/D71</f>
        <v>9.625850655414073</v>
      </c>
      <c r="G71" s="372">
        <f>I528*M71</f>
        <v>664.18369522357102</v>
      </c>
      <c r="H71" s="308">
        <v>39.479999999999997</v>
      </c>
      <c r="I71" s="114">
        <f>$D71*$H71</f>
        <v>2724.12</v>
      </c>
      <c r="J71" s="39"/>
      <c r="K71" s="124">
        <f>+I71/$I$67</f>
        <v>0.48864212711400384</v>
      </c>
      <c r="L71" s="125">
        <f>+L70+K71</f>
        <v>1</v>
      </c>
      <c r="M71" s="126">
        <f t="shared" si="21"/>
        <v>2.7158363306525198E-3</v>
      </c>
      <c r="N71" s="169">
        <f>+N70+M71</f>
        <v>5.5579250743129135E-3</v>
      </c>
      <c r="O71" s="39"/>
      <c r="P71" s="259">
        <v>0</v>
      </c>
      <c r="Q71" s="516"/>
      <c r="R71" s="257">
        <v>0</v>
      </c>
      <c r="S71" s="516"/>
      <c r="T71" s="243">
        <v>0</v>
      </c>
      <c r="U71" s="561"/>
      <c r="V71" s="257">
        <v>0</v>
      </c>
      <c r="W71" s="516"/>
      <c r="X71" s="257">
        <v>0</v>
      </c>
      <c r="Y71" s="516"/>
    </row>
    <row r="72" spans="1:25" ht="12.75" customHeight="1">
      <c r="A72" s="291" t="s">
        <v>70</v>
      </c>
      <c r="B72" s="158"/>
      <c r="C72" s="159" t="s">
        <v>479</v>
      </c>
      <c r="D72" s="160"/>
      <c r="E72" s="359"/>
      <c r="F72" s="394">
        <f>+G72/D$3</f>
        <v>5.0513691276607702</v>
      </c>
      <c r="G72" s="377">
        <f>SUM(G73:G77)</f>
        <v>4651.3512064413135</v>
      </c>
      <c r="H72" s="313"/>
      <c r="I72" s="161">
        <f>SUM(I73:I77)</f>
        <v>19077.3109</v>
      </c>
      <c r="J72" s="39"/>
      <c r="K72" s="552" t="str">
        <f>+C72</f>
        <v>Pav. Externa</v>
      </c>
      <c r="L72" s="553"/>
      <c r="M72" s="170">
        <f t="shared" si="21"/>
        <v>1.9019299455741056E-2</v>
      </c>
      <c r="N72" s="171"/>
      <c r="O72" s="38"/>
      <c r="P72" s="272">
        <f>SUMPRODUCT( P73:P77,$M$73:$M$77)</f>
        <v>0</v>
      </c>
      <c r="Q72" s="516">
        <f>+P72/$M$72</f>
        <v>0</v>
      </c>
      <c r="R72" s="272">
        <f>SUMPRODUCT( R73:R77,$M$73:$M$77)</f>
        <v>0</v>
      </c>
      <c r="S72" s="516">
        <f>+R72/$M$72</f>
        <v>0</v>
      </c>
      <c r="T72" s="255">
        <f>SUMPRODUCT( T73:T77,$M$73:$M$77)</f>
        <v>0</v>
      </c>
      <c r="U72" s="561">
        <f>+T72/$M$72</f>
        <v>0</v>
      </c>
      <c r="V72" s="272">
        <f>SUMPRODUCT( V73:V77,$M$73:$M$77)</f>
        <v>0</v>
      </c>
      <c r="W72" s="516">
        <f>+V72/$M$72</f>
        <v>0</v>
      </c>
      <c r="X72" s="272">
        <f>SUMPRODUCT( X73:X77,$M$73:$M$77)</f>
        <v>0</v>
      </c>
      <c r="Y72" s="516">
        <f>+X72/$M$72</f>
        <v>0</v>
      </c>
    </row>
    <row r="73" spans="1:25" ht="25.5" customHeight="1">
      <c r="B73" s="86" t="s">
        <v>48</v>
      </c>
      <c r="C73" s="96" t="s">
        <v>49</v>
      </c>
      <c r="D73" s="97">
        <v>69.760000000000005</v>
      </c>
      <c r="E73" s="350" t="s">
        <v>50</v>
      </c>
      <c r="F73" s="346">
        <f t="shared" si="22"/>
        <v>7.8240513559330722</v>
      </c>
      <c r="G73" s="372">
        <f>I528*M73</f>
        <v>545.80582258989114</v>
      </c>
      <c r="H73" s="308">
        <v>32.090000000000003</v>
      </c>
      <c r="I73" s="114">
        <f>$D73*$H73</f>
        <v>2238.5984000000003</v>
      </c>
      <c r="J73" s="39"/>
      <c r="K73" s="23">
        <f>+I73/$I$72</f>
        <v>0.11734349834388873</v>
      </c>
      <c r="L73" s="25">
        <f>+K73</f>
        <v>0.11734349834388873</v>
      </c>
      <c r="M73" s="26">
        <f t="shared" si="21"/>
        <v>2.2317911341866743E-3</v>
      </c>
      <c r="N73" s="74">
        <f>+M73</f>
        <v>2.2317911341866743E-3</v>
      </c>
      <c r="O73" s="39"/>
      <c r="P73" s="257">
        <v>0</v>
      </c>
      <c r="Q73" s="516"/>
      <c r="R73" s="257">
        <v>0</v>
      </c>
      <c r="S73" s="516"/>
      <c r="T73" s="243">
        <v>0</v>
      </c>
      <c r="U73" s="561"/>
      <c r="V73" s="257">
        <v>0</v>
      </c>
      <c r="W73" s="516"/>
      <c r="X73" s="257">
        <v>0</v>
      </c>
      <c r="Y73" s="516"/>
    </row>
    <row r="74" spans="1:25" ht="26.25" customHeight="1">
      <c r="B74" s="86" t="s">
        <v>51</v>
      </c>
      <c r="C74" s="96" t="s">
        <v>52</v>
      </c>
      <c r="D74" s="97">
        <v>260.3</v>
      </c>
      <c r="E74" s="350" t="s">
        <v>53</v>
      </c>
      <c r="F74" s="339">
        <f t="shared" si="22"/>
        <v>5.7394256440842772</v>
      </c>
      <c r="G74" s="372">
        <f>I528*M74</f>
        <v>1493.9724951551375</v>
      </c>
      <c r="H74" s="308">
        <v>23.54</v>
      </c>
      <c r="I74" s="114">
        <f>$D74*$H74</f>
        <v>6127.4620000000004</v>
      </c>
      <c r="J74" s="39"/>
      <c r="K74" s="62">
        <f>+I74/$I$72</f>
        <v>0.3211910752054683</v>
      </c>
      <c r="L74" s="63">
        <f>+L73+K74</f>
        <v>0.43853457354935704</v>
      </c>
      <c r="M74" s="64">
        <f t="shared" si="21"/>
        <v>6.1088292418442474E-3</v>
      </c>
      <c r="N74" s="75">
        <f>+N73+M74</f>
        <v>8.3406203760309217E-3</v>
      </c>
      <c r="O74" s="39"/>
      <c r="P74" s="258">
        <v>0</v>
      </c>
      <c r="Q74" s="516"/>
      <c r="R74" s="257">
        <v>0</v>
      </c>
      <c r="S74" s="516"/>
      <c r="T74" s="243">
        <v>0</v>
      </c>
      <c r="U74" s="561"/>
      <c r="V74" s="257">
        <v>0</v>
      </c>
      <c r="W74" s="516"/>
      <c r="X74" s="257">
        <v>0</v>
      </c>
      <c r="Y74" s="516"/>
    </row>
    <row r="75" spans="1:25" ht="25.5" customHeight="1">
      <c r="B75" s="86" t="s">
        <v>54</v>
      </c>
      <c r="C75" s="96" t="s">
        <v>476</v>
      </c>
      <c r="D75" s="97">
        <v>319.25</v>
      </c>
      <c r="E75" s="350" t="s">
        <v>55</v>
      </c>
      <c r="F75" s="339">
        <f t="shared" si="22"/>
        <v>5.2591083748044971</v>
      </c>
      <c r="G75" s="372">
        <f>I528*M75</f>
        <v>1678.9703486563358</v>
      </c>
      <c r="H75" s="308">
        <v>21.57</v>
      </c>
      <c r="I75" s="114">
        <f>$D75*$H75</f>
        <v>6886.2224999999999</v>
      </c>
      <c r="J75" s="39"/>
      <c r="K75" s="62">
        <f>+I75/$I$72</f>
        <v>0.36096400253140498</v>
      </c>
      <c r="L75" s="63">
        <f>+L74+K75</f>
        <v>0.79949857608076202</v>
      </c>
      <c r="M75" s="64">
        <f t="shared" si="21"/>
        <v>6.8652824568876634E-3</v>
      </c>
      <c r="N75" s="75">
        <f>+N74+M75</f>
        <v>1.5205902832918585E-2</v>
      </c>
      <c r="O75" s="39"/>
      <c r="P75" s="258">
        <v>0</v>
      </c>
      <c r="Q75" s="516"/>
      <c r="R75" s="257">
        <v>0</v>
      </c>
      <c r="S75" s="516"/>
      <c r="T75" s="243">
        <v>0</v>
      </c>
      <c r="U75" s="561"/>
      <c r="V75" s="257">
        <v>0</v>
      </c>
      <c r="W75" s="516"/>
      <c r="X75" s="257">
        <v>0</v>
      </c>
      <c r="Y75" s="516"/>
    </row>
    <row r="76" spans="1:25" ht="12.75" customHeight="1">
      <c r="B76" s="86" t="s">
        <v>56</v>
      </c>
      <c r="C76" s="96" t="s">
        <v>57</v>
      </c>
      <c r="D76" s="97">
        <v>83.8</v>
      </c>
      <c r="E76" s="350" t="s">
        <v>58</v>
      </c>
      <c r="F76" s="339">
        <f t="shared" si="22"/>
        <v>2.4527876796723804</v>
      </c>
      <c r="G76" s="372">
        <f>I528*M76</f>
        <v>205.54360755654548</v>
      </c>
      <c r="H76" s="308">
        <v>10.06</v>
      </c>
      <c r="I76" s="114">
        <f>$D76*$H76</f>
        <v>843.02800000000002</v>
      </c>
      <c r="J76" s="39"/>
      <c r="K76" s="62">
        <f>+I76/$I$72</f>
        <v>4.419008551147531E-2</v>
      </c>
      <c r="L76" s="63">
        <f>+L75+K76</f>
        <v>0.84368866159223732</v>
      </c>
      <c r="M76" s="64">
        <f t="shared" si="21"/>
        <v>8.40464469317553E-4</v>
      </c>
      <c r="N76" s="75">
        <f>+N75+M76</f>
        <v>1.6046367302236138E-2</v>
      </c>
      <c r="O76" s="39"/>
      <c r="P76" s="258">
        <v>0</v>
      </c>
      <c r="Q76" s="516"/>
      <c r="R76" s="257">
        <v>0</v>
      </c>
      <c r="S76" s="516"/>
      <c r="T76" s="243">
        <v>0</v>
      </c>
      <c r="U76" s="561"/>
      <c r="V76" s="257">
        <v>0</v>
      </c>
      <c r="W76" s="516"/>
      <c r="X76" s="257">
        <v>0</v>
      </c>
      <c r="Y76" s="516"/>
    </row>
    <row r="77" spans="1:25" ht="26.25" customHeight="1" thickBot="1">
      <c r="A77" s="291" t="s">
        <v>1082</v>
      </c>
      <c r="B77" s="87" t="s">
        <v>59</v>
      </c>
      <c r="C77" s="98" t="s">
        <v>477</v>
      </c>
      <c r="D77" s="99">
        <v>177.5</v>
      </c>
      <c r="E77" s="355" t="s">
        <v>60</v>
      </c>
      <c r="F77" s="340">
        <f t="shared" si="22"/>
        <v>4.0961066618783288</v>
      </c>
      <c r="G77" s="373">
        <f>I528*M77</f>
        <v>727.0589324834034</v>
      </c>
      <c r="H77" s="309">
        <v>16.8</v>
      </c>
      <c r="I77" s="90">
        <f>$D77*$H77</f>
        <v>2982</v>
      </c>
      <c r="J77" s="39"/>
      <c r="K77" s="115">
        <f>+I77/$I$72</f>
        <v>0.15631133840776271</v>
      </c>
      <c r="L77" s="116">
        <f>+L76+K77</f>
        <v>1</v>
      </c>
      <c r="M77" s="117">
        <f t="shared" si="21"/>
        <v>2.9729321535049169E-3</v>
      </c>
      <c r="N77" s="134">
        <f>+N76+M77</f>
        <v>1.9019299455741056E-2</v>
      </c>
      <c r="O77" s="39"/>
      <c r="P77" s="280">
        <v>0</v>
      </c>
      <c r="Q77" s="538"/>
      <c r="R77" s="257">
        <v>0</v>
      </c>
      <c r="S77" s="538"/>
      <c r="T77" s="243">
        <v>0</v>
      </c>
      <c r="U77" s="577"/>
      <c r="V77" s="257">
        <v>0</v>
      </c>
      <c r="W77" s="538"/>
      <c r="X77" s="257">
        <v>0</v>
      </c>
      <c r="Y77" s="538"/>
    </row>
    <row r="78" spans="1:25" s="6" customFormat="1" ht="12.75" customHeight="1">
      <c r="A78" s="291" t="s">
        <v>70</v>
      </c>
      <c r="B78" s="33" t="s">
        <v>61</v>
      </c>
      <c r="C78" s="100" t="s">
        <v>62</v>
      </c>
      <c r="D78" s="101"/>
      <c r="E78" s="356"/>
      <c r="F78" s="395">
        <f>+G78/D$3</f>
        <v>33.352210502700821</v>
      </c>
      <c r="G78" s="374">
        <f>+G79+G85+G89+G91</f>
        <v>30711.048952991943</v>
      </c>
      <c r="H78" s="310"/>
      <c r="I78" s="54">
        <f>+I79+I85+I89+I91</f>
        <v>71952.092899999989</v>
      </c>
      <c r="J78" s="38"/>
      <c r="K78" s="546" t="str">
        <f>+C78</f>
        <v>Revestimentos</v>
      </c>
      <c r="L78" s="547"/>
      <c r="M78" s="172">
        <f t="shared" si="21"/>
        <v>7.1733296611127706E-2</v>
      </c>
      <c r="N78" s="151"/>
      <c r="O78" s="38"/>
      <c r="P78" s="297">
        <f>+P79+P85+P89+P91</f>
        <v>0</v>
      </c>
      <c r="Q78" s="296">
        <f>+P78/$M$78</f>
        <v>0</v>
      </c>
      <c r="R78" s="297">
        <f>+R79+R85+R89+R91</f>
        <v>0</v>
      </c>
      <c r="S78" s="296">
        <f>+R78/$M$78</f>
        <v>0</v>
      </c>
      <c r="T78" s="295">
        <f>+T79+T85+T89+T91</f>
        <v>0</v>
      </c>
      <c r="U78" s="253">
        <f>+T78/$M$78</f>
        <v>0</v>
      </c>
      <c r="V78" s="266">
        <f>+V79+V85+V89+V91</f>
        <v>5.7536965347922644E-2</v>
      </c>
      <c r="W78" s="296">
        <f>+V78/$M$78</f>
        <v>0.80209565245321734</v>
      </c>
      <c r="X78" s="297">
        <f>+X79+X85+X89+X91</f>
        <v>5.7536965347922644E-2</v>
      </c>
      <c r="Y78" s="296">
        <f>+X78/$M$78</f>
        <v>0.80209565245321734</v>
      </c>
    </row>
    <row r="79" spans="1:25" ht="12.75" customHeight="1">
      <c r="A79" s="291" t="s">
        <v>70</v>
      </c>
      <c r="B79" s="218"/>
      <c r="C79" s="219" t="s">
        <v>72</v>
      </c>
      <c r="D79" s="220"/>
      <c r="E79" s="362"/>
      <c r="F79" s="394">
        <f>+G79/D$3</f>
        <v>20.052160331169571</v>
      </c>
      <c r="G79" s="381">
        <f>SUM(G80:G84)</f>
        <v>18464.229754544253</v>
      </c>
      <c r="H79" s="316"/>
      <c r="I79" s="221">
        <f>SUM(I80:I84)</f>
        <v>41503.755099999995</v>
      </c>
      <c r="J79" s="39"/>
      <c r="K79" s="548" t="str">
        <f>+C79</f>
        <v>Paredes e Pilares</v>
      </c>
      <c r="L79" s="549"/>
      <c r="M79" s="173">
        <f t="shared" si="21"/>
        <v>4.1377547963777218E-2</v>
      </c>
      <c r="N79" s="121"/>
      <c r="O79" s="39"/>
      <c r="P79" s="272">
        <f>SUMPRODUCT( P80:P84,$M$80:$M$84)</f>
        <v>0</v>
      </c>
      <c r="Q79" s="516">
        <f>+P79/$M$79</f>
        <v>0</v>
      </c>
      <c r="R79" s="272">
        <f>SUMPRODUCT( R80:R84,$M$80:$M$84)</f>
        <v>0</v>
      </c>
      <c r="S79" s="516">
        <f>+R79/$M$79</f>
        <v>0</v>
      </c>
      <c r="T79" s="255">
        <f>SUMPRODUCT( T80:T84,$M$80:$M$84)</f>
        <v>0</v>
      </c>
      <c r="U79" s="561">
        <f>+T79/$M$79</f>
        <v>0</v>
      </c>
      <c r="V79" s="272">
        <f>SUMPRODUCT( V80:V84,$M$80:$M$84)</f>
        <v>3.1577308623657069E-2</v>
      </c>
      <c r="W79" s="516">
        <f>+V79/$M$79</f>
        <v>0.76315079499878802</v>
      </c>
      <c r="X79" s="272">
        <f>SUMPRODUCT( X80:X84,$M$80:$M$84)</f>
        <v>3.1577308623657069E-2</v>
      </c>
      <c r="Y79" s="516">
        <f>+X79/$M$79</f>
        <v>0.76315079499878802</v>
      </c>
    </row>
    <row r="80" spans="1:25" ht="12" customHeight="1">
      <c r="B80" s="88" t="s">
        <v>63</v>
      </c>
      <c r="C80" s="102" t="s">
        <v>64</v>
      </c>
      <c r="D80" s="103">
        <v>2441.2600000000002</v>
      </c>
      <c r="E80" s="357" t="s">
        <v>65</v>
      </c>
      <c r="F80" s="338">
        <f t="shared" si="22"/>
        <v>0.5924725707359727</v>
      </c>
      <c r="G80" s="371">
        <f>I528*M80</f>
        <v>1446.3795880349007</v>
      </c>
      <c r="H80" s="311">
        <v>2.4300000000000002</v>
      </c>
      <c r="I80" s="57">
        <f>$D80*$H80</f>
        <v>5932.2618000000011</v>
      </c>
      <c r="J80" s="39"/>
      <c r="K80" s="23">
        <f>+I80/$I$79</f>
        <v>0.14293313425994078</v>
      </c>
      <c r="L80" s="25">
        <f>+K80</f>
        <v>0.14293313425994078</v>
      </c>
      <c r="M80" s="26">
        <f t="shared" ref="M80:M96" si="23">+I80/$I$514</f>
        <v>5.9142226184537077E-3</v>
      </c>
      <c r="N80" s="74">
        <f>+M80</f>
        <v>5.9142226184537077E-3</v>
      </c>
      <c r="O80" s="39"/>
      <c r="P80" s="257">
        <v>0</v>
      </c>
      <c r="Q80" s="516"/>
      <c r="R80" s="262">
        <v>0</v>
      </c>
      <c r="S80" s="516"/>
      <c r="T80" s="288">
        <v>0</v>
      </c>
      <c r="U80" s="561"/>
      <c r="V80" s="262">
        <v>1</v>
      </c>
      <c r="W80" s="516"/>
      <c r="X80" s="262">
        <v>1</v>
      </c>
      <c r="Y80" s="516"/>
    </row>
    <row r="81" spans="1:25" ht="12" customHeight="1">
      <c r="B81" s="86" t="s">
        <v>66</v>
      </c>
      <c r="C81" s="96" t="s">
        <v>67</v>
      </c>
      <c r="D81" s="97">
        <v>2441.2600000000002</v>
      </c>
      <c r="E81" s="350" t="s">
        <v>68</v>
      </c>
      <c r="F81" s="339">
        <f t="shared" si="22"/>
        <v>5.1274478035298356</v>
      </c>
      <c r="G81" s="372">
        <f>I528*M81*3</f>
        <v>12517.433224845248</v>
      </c>
      <c r="H81" s="308">
        <v>7.01</v>
      </c>
      <c r="I81" s="114">
        <f>$D81*$H81</f>
        <v>17113.232599999999</v>
      </c>
      <c r="J81" s="39"/>
      <c r="K81" s="62">
        <f>+I81/$I$79</f>
        <v>0.41232974121900601</v>
      </c>
      <c r="L81" s="63">
        <f>+L80+K81</f>
        <v>0.55526287547894682</v>
      </c>
      <c r="M81" s="64">
        <f t="shared" si="23"/>
        <v>1.706119364418127E-2</v>
      </c>
      <c r="N81" s="75">
        <f>+N80+M81</f>
        <v>2.2975416262634978E-2</v>
      </c>
      <c r="O81" s="39"/>
      <c r="P81" s="258">
        <v>0</v>
      </c>
      <c r="Q81" s="516"/>
      <c r="R81" s="262">
        <v>0</v>
      </c>
      <c r="S81" s="516"/>
      <c r="T81" s="288">
        <v>0</v>
      </c>
      <c r="U81" s="561"/>
      <c r="V81" s="262">
        <v>1</v>
      </c>
      <c r="W81" s="516"/>
      <c r="X81" s="262">
        <v>1</v>
      </c>
      <c r="Y81" s="516"/>
    </row>
    <row r="82" spans="1:25" ht="12" customHeight="1">
      <c r="B82" s="86" t="s">
        <v>69</v>
      </c>
      <c r="C82" s="96" t="s">
        <v>79</v>
      </c>
      <c r="D82" s="97">
        <v>1416.77</v>
      </c>
      <c r="E82" s="350" t="s">
        <v>80</v>
      </c>
      <c r="F82" s="339">
        <f t="shared" si="22"/>
        <v>1.4848386649308944</v>
      </c>
      <c r="G82" s="372">
        <f>I528*M82</f>
        <v>2103.6748753141433</v>
      </c>
      <c r="H82" s="308">
        <v>6.09</v>
      </c>
      <c r="I82" s="114">
        <f>$D82*$H82</f>
        <v>8628.1293000000005</v>
      </c>
      <c r="J82" s="39"/>
      <c r="K82" s="62">
        <f>+I82/$I$79</f>
        <v>0.20788791951984126</v>
      </c>
      <c r="L82" s="63">
        <f>+L81+K82</f>
        <v>0.76315079499878813</v>
      </c>
      <c r="M82" s="64">
        <f t="shared" si="23"/>
        <v>8.6018923610220906E-3</v>
      </c>
      <c r="N82" s="75">
        <f>+N81+M82</f>
        <v>3.1577308623657069E-2</v>
      </c>
      <c r="O82" s="39"/>
      <c r="P82" s="258">
        <v>0</v>
      </c>
      <c r="Q82" s="516"/>
      <c r="R82" s="262">
        <v>0</v>
      </c>
      <c r="S82" s="516"/>
      <c r="T82" s="288">
        <v>0</v>
      </c>
      <c r="U82" s="561"/>
      <c r="V82" s="262">
        <v>1</v>
      </c>
      <c r="W82" s="516"/>
      <c r="X82" s="262">
        <v>1</v>
      </c>
      <c r="Y82" s="516"/>
    </row>
    <row r="83" spans="1:25" ht="12" customHeight="1">
      <c r="B83" s="86" t="s">
        <v>81</v>
      </c>
      <c r="C83" s="96" t="s">
        <v>82</v>
      </c>
      <c r="D83" s="97">
        <v>333.67</v>
      </c>
      <c r="E83" s="350" t="s">
        <v>83</v>
      </c>
      <c r="F83" s="339">
        <f t="shared" si="22"/>
        <v>7.1730629757416935</v>
      </c>
      <c r="G83" s="372">
        <f>I528*M83</f>
        <v>2393.4359231157309</v>
      </c>
      <c r="H83" s="308">
        <v>29.42</v>
      </c>
      <c r="I83" s="114">
        <f>$D83*$H83</f>
        <v>9816.5714000000007</v>
      </c>
      <c r="J83" s="39"/>
      <c r="K83" s="62">
        <f>+I83/$I$79</f>
        <v>0.23652248757607</v>
      </c>
      <c r="L83" s="63">
        <f>+L82+K83</f>
        <v>0.9996732825748581</v>
      </c>
      <c r="M83" s="64">
        <f t="shared" si="23"/>
        <v>9.7867205741907371E-3</v>
      </c>
      <c r="N83" s="75">
        <f>+N82+M83</f>
        <v>4.1364029197847804E-2</v>
      </c>
      <c r="O83" s="39"/>
      <c r="P83" s="258">
        <v>0</v>
      </c>
      <c r="Q83" s="516"/>
      <c r="R83" s="262">
        <v>0</v>
      </c>
      <c r="S83" s="516"/>
      <c r="T83" s="288">
        <v>0</v>
      </c>
      <c r="U83" s="561"/>
      <c r="V83" s="262">
        <v>0</v>
      </c>
      <c r="W83" s="516"/>
      <c r="X83" s="262">
        <v>0</v>
      </c>
      <c r="Y83" s="516"/>
    </row>
    <row r="84" spans="1:25" ht="12" customHeight="1">
      <c r="B84" s="86" t="s">
        <v>84</v>
      </c>
      <c r="C84" s="96" t="s">
        <v>85</v>
      </c>
      <c r="D84" s="97">
        <v>0.4</v>
      </c>
      <c r="E84" s="350" t="s">
        <v>86</v>
      </c>
      <c r="F84" s="345">
        <f t="shared" si="22"/>
        <v>8.2653580855759134</v>
      </c>
      <c r="G84" s="372">
        <f>I528*M84</f>
        <v>3.3061432342303658</v>
      </c>
      <c r="H84" s="308">
        <v>33.9</v>
      </c>
      <c r="I84" s="114">
        <f>$D84*$H84</f>
        <v>13.56</v>
      </c>
      <c r="J84" s="39"/>
      <c r="K84" s="62">
        <f>+I84/$I$79</f>
        <v>3.2671742514209278E-4</v>
      </c>
      <c r="L84" s="63">
        <f>+L83+K84</f>
        <v>1.0000000000000002</v>
      </c>
      <c r="M84" s="64">
        <f t="shared" si="23"/>
        <v>1.3518765929418737E-5</v>
      </c>
      <c r="N84" s="157">
        <f>+N83+M84</f>
        <v>4.1377547963777225E-2</v>
      </c>
      <c r="O84" s="39"/>
      <c r="P84" s="259">
        <v>0</v>
      </c>
      <c r="Q84" s="516"/>
      <c r="R84" s="262">
        <v>0</v>
      </c>
      <c r="S84" s="516"/>
      <c r="T84" s="288">
        <v>0</v>
      </c>
      <c r="U84" s="561"/>
      <c r="V84" s="262">
        <v>0</v>
      </c>
      <c r="W84" s="516"/>
      <c r="X84" s="262">
        <v>0</v>
      </c>
      <c r="Y84" s="516"/>
    </row>
    <row r="85" spans="1:25" ht="12" customHeight="1">
      <c r="A85" s="291" t="s">
        <v>70</v>
      </c>
      <c r="B85" s="35"/>
      <c r="C85" s="104" t="s">
        <v>584</v>
      </c>
      <c r="D85" s="105"/>
      <c r="E85" s="358"/>
      <c r="F85" s="394">
        <f>+G85/D$3</f>
        <v>13.248991583381077</v>
      </c>
      <c r="G85" s="375">
        <f>SUM(G86:G88)</f>
        <v>12199.803939893129</v>
      </c>
      <c r="H85" s="312"/>
      <c r="I85" s="56">
        <f>SUM(I86:I88)</f>
        <v>26038.837200000002</v>
      </c>
      <c r="J85" s="39"/>
      <c r="K85" s="550" t="str">
        <f>+C85</f>
        <v>Tetos lajes e beirais</v>
      </c>
      <c r="L85" s="551"/>
      <c r="M85" s="167">
        <f t="shared" si="23"/>
        <v>2.5959656724265576E-2</v>
      </c>
      <c r="N85" s="168"/>
      <c r="O85" s="38"/>
      <c r="P85" s="272">
        <f>SUMPRODUCT( P86:P88,$M$86:$M$88)</f>
        <v>0</v>
      </c>
      <c r="Q85" s="517">
        <f>+P85/$M$85</f>
        <v>0</v>
      </c>
      <c r="R85" s="272">
        <f>SUMPRODUCT( R86:R88,$M$86:$M$88)</f>
        <v>0</v>
      </c>
      <c r="S85" s="517">
        <f>+R85/$M$85</f>
        <v>0</v>
      </c>
      <c r="T85" s="255">
        <f>SUMPRODUCT( T86:T88,$M$86:$M$88)</f>
        <v>0</v>
      </c>
      <c r="U85" s="578">
        <f>+T85/$M$85</f>
        <v>0</v>
      </c>
      <c r="V85" s="272">
        <f>SUMPRODUCT( V86:V88,$M$86:$M$88)</f>
        <v>2.5959656724265576E-2</v>
      </c>
      <c r="W85" s="517">
        <f>+V85/$M$85</f>
        <v>1</v>
      </c>
      <c r="X85" s="272">
        <f>SUMPRODUCT( X86:X88,$M$86:$M$88)</f>
        <v>2.5959656724265576E-2</v>
      </c>
      <c r="Y85" s="517">
        <f>+X85/$M$85</f>
        <v>1</v>
      </c>
    </row>
    <row r="86" spans="1:25" ht="12" customHeight="1">
      <c r="B86" s="86" t="s">
        <v>87</v>
      </c>
      <c r="C86" s="96" t="s">
        <v>88</v>
      </c>
      <c r="D86" s="97">
        <v>1173.8699999999999</v>
      </c>
      <c r="E86" s="350" t="s">
        <v>89</v>
      </c>
      <c r="F86" s="346">
        <f t="shared" si="22"/>
        <v>0.88261345928568757</v>
      </c>
      <c r="G86" s="372">
        <f>I528*M86</f>
        <v>1036.07346145169</v>
      </c>
      <c r="H86" s="308">
        <v>3.62</v>
      </c>
      <c r="I86" s="114">
        <f>$D86*$H86</f>
        <v>4249.4093999999996</v>
      </c>
      <c r="J86" s="39"/>
      <c r="K86" s="23">
        <f>+I86/$I$85</f>
        <v>0.16319505235049434</v>
      </c>
      <c r="L86" s="25">
        <f>+K86</f>
        <v>0.16319505235049434</v>
      </c>
      <c r="M86" s="26">
        <f t="shared" si="23"/>
        <v>4.2364875381173828E-3</v>
      </c>
      <c r="N86" s="74">
        <f>+M86</f>
        <v>4.2364875381173828E-3</v>
      </c>
      <c r="O86" s="39"/>
      <c r="P86" s="264">
        <v>0</v>
      </c>
      <c r="Q86" s="518"/>
      <c r="R86" s="264">
        <v>0</v>
      </c>
      <c r="S86" s="518"/>
      <c r="T86" s="260">
        <v>0</v>
      </c>
      <c r="U86" s="579"/>
      <c r="V86" s="264">
        <v>1</v>
      </c>
      <c r="W86" s="518"/>
      <c r="X86" s="264">
        <v>1</v>
      </c>
      <c r="Y86" s="518"/>
    </row>
    <row r="87" spans="1:25" ht="12" customHeight="1">
      <c r="B87" s="86" t="s">
        <v>90</v>
      </c>
      <c r="C87" s="96" t="s">
        <v>91</v>
      </c>
      <c r="D87" s="97">
        <v>1173.8699999999999</v>
      </c>
      <c r="E87" s="350" t="s">
        <v>92</v>
      </c>
      <c r="F87" s="339">
        <f t="shared" si="22"/>
        <v>8.031294847754296</v>
      </c>
      <c r="G87" s="372">
        <f>I528*M87*3</f>
        <v>9427.6960829333348</v>
      </c>
      <c r="H87" s="308">
        <v>10.98</v>
      </c>
      <c r="I87" s="114">
        <f>$D87*$H87</f>
        <v>12889.0926</v>
      </c>
      <c r="J87" s="39"/>
      <c r="K87" s="23">
        <f>+I87/$I$85</f>
        <v>0.4949949377923834</v>
      </c>
      <c r="L87" s="25">
        <f>+L86+K87</f>
        <v>0.65818999014287771</v>
      </c>
      <c r="M87" s="26">
        <f t="shared" si="23"/>
        <v>1.2849898665339466E-2</v>
      </c>
      <c r="N87" s="74">
        <f>+N86+M87</f>
        <v>1.7086386203456851E-2</v>
      </c>
      <c r="O87" s="39"/>
      <c r="P87" s="257">
        <v>0</v>
      </c>
      <c r="Q87" s="518"/>
      <c r="R87" s="264">
        <v>0</v>
      </c>
      <c r="S87" s="518"/>
      <c r="T87" s="260">
        <v>0</v>
      </c>
      <c r="U87" s="579"/>
      <c r="V87" s="264">
        <v>1</v>
      </c>
      <c r="W87" s="518"/>
      <c r="X87" s="264">
        <v>1</v>
      </c>
      <c r="Y87" s="518"/>
    </row>
    <row r="88" spans="1:25" ht="12" customHeight="1">
      <c r="B88" s="88" t="s">
        <v>93</v>
      </c>
      <c r="C88" s="102" t="s">
        <v>94</v>
      </c>
      <c r="D88" s="103">
        <v>1002.29</v>
      </c>
      <c r="E88" s="357" t="s">
        <v>95</v>
      </c>
      <c r="F88" s="338">
        <f t="shared" si="22"/>
        <v>1.7320679598799793</v>
      </c>
      <c r="G88" s="371">
        <f>I528*M88*0.8</f>
        <v>1736.0343955081044</v>
      </c>
      <c r="H88" s="311">
        <v>8.8800000000000008</v>
      </c>
      <c r="I88" s="57">
        <f>$D88*$H88</f>
        <v>8900.3352000000014</v>
      </c>
      <c r="J88" s="39"/>
      <c r="K88" s="183">
        <f>+I88/$I$85</f>
        <v>0.34181000985712223</v>
      </c>
      <c r="L88" s="184">
        <f>+L87+K88</f>
        <v>1</v>
      </c>
      <c r="M88" s="185">
        <f t="shared" si="23"/>
        <v>8.8732705208087251E-3</v>
      </c>
      <c r="N88" s="186">
        <f>+N87+M88</f>
        <v>2.5959656724265576E-2</v>
      </c>
      <c r="O88" s="39"/>
      <c r="P88" s="257">
        <v>0</v>
      </c>
      <c r="Q88" s="519"/>
      <c r="R88" s="257">
        <v>0</v>
      </c>
      <c r="S88" s="519"/>
      <c r="T88" s="257">
        <v>0</v>
      </c>
      <c r="U88" s="580"/>
      <c r="V88" s="257">
        <v>1</v>
      </c>
      <c r="W88" s="519"/>
      <c r="X88" s="257">
        <v>1</v>
      </c>
      <c r="Y88" s="519"/>
    </row>
    <row r="89" spans="1:25" ht="12" customHeight="1">
      <c r="A89" s="291" t="s">
        <v>70</v>
      </c>
      <c r="B89" s="158"/>
      <c r="C89" s="159" t="s">
        <v>585</v>
      </c>
      <c r="D89" s="160"/>
      <c r="E89" s="359"/>
      <c r="F89" s="394">
        <f>+G89/D$3</f>
        <v>0</v>
      </c>
      <c r="G89" s="377">
        <f>+G90</f>
        <v>0</v>
      </c>
      <c r="H89" s="313"/>
      <c r="I89" s="161">
        <f>+I90</f>
        <v>4216.6696000000002</v>
      </c>
      <c r="J89" s="39"/>
      <c r="K89" s="550" t="str">
        <f>+C89</f>
        <v>Forro em Fibra Mineral conf. Esp</v>
      </c>
      <c r="L89" s="551"/>
      <c r="M89" s="167">
        <f t="shared" si="23"/>
        <v>4.2038472952872956E-3</v>
      </c>
      <c r="N89" s="168"/>
      <c r="O89" s="38"/>
      <c r="P89" s="272">
        <f>SUMPRODUCT( P90:P90,$M$90:$M$90)</f>
        <v>0</v>
      </c>
      <c r="Q89" s="517">
        <f>+P89/$M$89</f>
        <v>0</v>
      </c>
      <c r="R89" s="272">
        <f>SUMPRODUCT( R90:R90,$M$90:$M$90)</f>
        <v>0</v>
      </c>
      <c r="S89" s="517">
        <f>+R89/$M$89</f>
        <v>0</v>
      </c>
      <c r="T89" s="255">
        <f>SUMPRODUCT( T90:T90,$M$90:$M$90)</f>
        <v>0</v>
      </c>
      <c r="U89" s="578">
        <f>+T89/$M$89</f>
        <v>0</v>
      </c>
      <c r="V89" s="272">
        <f>SUMPRODUCT( V90:V90,$M$90:$M$90)</f>
        <v>0</v>
      </c>
      <c r="W89" s="517">
        <f>+V89/$M$89</f>
        <v>0</v>
      </c>
      <c r="X89" s="272">
        <f>SUMPRODUCT( X90:X90,$M$90:$M$90)</f>
        <v>0</v>
      </c>
      <c r="Y89" s="517">
        <f>+X89/$M$89</f>
        <v>0</v>
      </c>
    </row>
    <row r="90" spans="1:25" ht="12" customHeight="1">
      <c r="B90" s="86" t="s">
        <v>96</v>
      </c>
      <c r="C90" s="96" t="s">
        <v>471</v>
      </c>
      <c r="D90" s="97">
        <v>165.88</v>
      </c>
      <c r="E90" s="350" t="s">
        <v>97</v>
      </c>
      <c r="F90" s="338">
        <f t="shared" si="22"/>
        <v>0</v>
      </c>
      <c r="G90" s="372">
        <v>0</v>
      </c>
      <c r="H90" s="308">
        <v>25.42</v>
      </c>
      <c r="I90" s="114">
        <f>$D90*$H90</f>
        <v>4216.6696000000002</v>
      </c>
      <c r="J90" s="39"/>
      <c r="K90" s="23">
        <f>+I90/$I$89</f>
        <v>1</v>
      </c>
      <c r="L90" s="25">
        <f>+K90</f>
        <v>1</v>
      </c>
      <c r="M90" s="26">
        <f t="shared" si="23"/>
        <v>4.2038472952872956E-3</v>
      </c>
      <c r="N90" s="74">
        <f>+M90</f>
        <v>4.2038472952872956E-3</v>
      </c>
      <c r="O90" s="39"/>
      <c r="P90" s="257">
        <v>0</v>
      </c>
      <c r="Q90" s="519"/>
      <c r="R90" s="257">
        <v>0</v>
      </c>
      <c r="S90" s="519"/>
      <c r="T90" s="257">
        <v>0</v>
      </c>
      <c r="U90" s="580"/>
      <c r="V90" s="257">
        <v>0</v>
      </c>
      <c r="W90" s="519"/>
      <c r="X90" s="257">
        <v>0</v>
      </c>
      <c r="Y90" s="519"/>
    </row>
    <row r="91" spans="1:25" ht="12" customHeight="1">
      <c r="A91" s="291" t="s">
        <v>70</v>
      </c>
      <c r="B91" s="158"/>
      <c r="C91" s="159" t="s">
        <v>586</v>
      </c>
      <c r="D91" s="160"/>
      <c r="E91" s="359"/>
      <c r="F91" s="394">
        <f>+G91/D$3</f>
        <v>5.1058588150175499E-2</v>
      </c>
      <c r="G91" s="377">
        <f>SUM(G92:G93)</f>
        <v>47.015258554563097</v>
      </c>
      <c r="H91" s="313"/>
      <c r="I91" s="161">
        <f>SUM(I92:I93)</f>
        <v>192.83099999999999</v>
      </c>
      <c r="J91" s="39"/>
      <c r="K91" s="550" t="str">
        <f>+C91</f>
        <v>Forro de Madeira</v>
      </c>
      <c r="L91" s="551"/>
      <c r="M91" s="167">
        <f t="shared" si="23"/>
        <v>1.9224462779762126E-4</v>
      </c>
      <c r="N91" s="168"/>
      <c r="O91" s="38"/>
      <c r="P91" s="261">
        <f>SUMPRODUCT( P92:P93,$M$92:$M$93)</f>
        <v>0</v>
      </c>
      <c r="Q91" s="517">
        <f>+P91/$M$91</f>
        <v>0</v>
      </c>
      <c r="R91" s="261">
        <f>SUMPRODUCT( R92:R93,$M$92:$M$93)</f>
        <v>0</v>
      </c>
      <c r="S91" s="517">
        <f>+R91/$M$91</f>
        <v>0</v>
      </c>
      <c r="T91" s="261">
        <f>SUMPRODUCT( T92:T93,$M$92:$M$93)</f>
        <v>0</v>
      </c>
      <c r="U91" s="578">
        <f>+T91/$M$91</f>
        <v>0</v>
      </c>
      <c r="V91" s="261">
        <f>SUMPRODUCT( V92:V93,$M$92:$M$93)</f>
        <v>0</v>
      </c>
      <c r="W91" s="517">
        <f>+V91/$M$91</f>
        <v>0</v>
      </c>
      <c r="X91" s="261">
        <f>SUMPRODUCT( X92:X93,$M$92:$M$93)</f>
        <v>0</v>
      </c>
      <c r="Y91" s="517">
        <f>+X91/$M$91</f>
        <v>0</v>
      </c>
    </row>
    <row r="92" spans="1:25" ht="12" customHeight="1">
      <c r="B92" s="86" t="s">
        <v>98</v>
      </c>
      <c r="C92" s="96" t="s">
        <v>99</v>
      </c>
      <c r="D92" s="97">
        <v>5.7</v>
      </c>
      <c r="E92" s="350" t="s">
        <v>100</v>
      </c>
      <c r="F92" s="405">
        <f t="shared" si="22"/>
        <v>1.9505269818468232</v>
      </c>
      <c r="G92" s="372">
        <f>I528*M92</f>
        <v>11.118003796526892</v>
      </c>
      <c r="H92" s="308">
        <v>8</v>
      </c>
      <c r="I92" s="114">
        <f>$D92*$H92</f>
        <v>45.6</v>
      </c>
      <c r="J92" s="39"/>
      <c r="K92" s="187">
        <f>+I92/$I$91</f>
        <v>0.23647650014779784</v>
      </c>
      <c r="L92" s="188">
        <f>+K92</f>
        <v>0.23647650014779784</v>
      </c>
      <c r="M92" s="189">
        <f t="shared" si="23"/>
        <v>4.546133675379752E-5</v>
      </c>
      <c r="N92" s="190">
        <f>+M92</f>
        <v>4.546133675379752E-5</v>
      </c>
      <c r="O92" s="39"/>
      <c r="P92" s="262">
        <v>0</v>
      </c>
      <c r="Q92" s="518"/>
      <c r="R92" s="262">
        <v>0</v>
      </c>
      <c r="S92" s="518"/>
      <c r="T92" s="262">
        <v>0</v>
      </c>
      <c r="U92" s="579"/>
      <c r="V92" s="262">
        <v>0</v>
      </c>
      <c r="W92" s="518"/>
      <c r="X92" s="262">
        <v>0</v>
      </c>
      <c r="Y92" s="518"/>
    </row>
    <row r="93" spans="1:25" ht="12" customHeight="1" thickBot="1">
      <c r="B93" s="232" t="s">
        <v>101</v>
      </c>
      <c r="C93" s="233" t="s">
        <v>102</v>
      </c>
      <c r="D93" s="224">
        <v>5.7</v>
      </c>
      <c r="E93" s="351" t="s">
        <v>103</v>
      </c>
      <c r="F93" s="404">
        <f t="shared" si="22"/>
        <v>6.2977639926379307</v>
      </c>
      <c r="G93" s="352">
        <f>I528*M93</f>
        <v>35.897254758036205</v>
      </c>
      <c r="H93" s="317">
        <v>25.83</v>
      </c>
      <c r="I93" s="225">
        <f>$D93*$H93</f>
        <v>147.23099999999999</v>
      </c>
      <c r="J93" s="39"/>
      <c r="K93" s="194">
        <f>+I93/$I$91</f>
        <v>0.76352349985220225</v>
      </c>
      <c r="L93" s="195">
        <f>+L92+K93</f>
        <v>1</v>
      </c>
      <c r="M93" s="196">
        <f t="shared" si="23"/>
        <v>1.4678329104382375E-4</v>
      </c>
      <c r="N93" s="197">
        <f>+N92+M93</f>
        <v>1.9224462779762126E-4</v>
      </c>
      <c r="O93" s="39"/>
      <c r="P93" s="257">
        <v>0</v>
      </c>
      <c r="Q93" s="520"/>
      <c r="R93" s="257">
        <v>0</v>
      </c>
      <c r="S93" s="520"/>
      <c r="T93" s="257">
        <v>0</v>
      </c>
      <c r="U93" s="581"/>
      <c r="V93" s="257">
        <v>0</v>
      </c>
      <c r="W93" s="520"/>
      <c r="X93" s="257">
        <v>0</v>
      </c>
      <c r="Y93" s="520"/>
    </row>
    <row r="94" spans="1:25" s="6" customFormat="1" ht="12" customHeight="1">
      <c r="A94" s="291" t="s">
        <v>70</v>
      </c>
      <c r="B94" s="234" t="s">
        <v>104</v>
      </c>
      <c r="C94" s="235" t="s">
        <v>105</v>
      </c>
      <c r="D94" s="236"/>
      <c r="E94" s="363"/>
      <c r="F94" s="403">
        <f>+G94/D$3</f>
        <v>1.2196992550715691</v>
      </c>
      <c r="G94" s="382">
        <f>SUM(G95:G101)</f>
        <v>1123.1112710624514</v>
      </c>
      <c r="H94" s="318"/>
      <c r="I94" s="237">
        <f>SUM(I95:I101)</f>
        <v>23031.955600000001</v>
      </c>
      <c r="J94" s="38"/>
      <c r="K94" s="557" t="str">
        <f>+C94</f>
        <v>Serralheria</v>
      </c>
      <c r="L94" s="558"/>
      <c r="M94" s="238">
        <f t="shared" si="23"/>
        <v>2.2961918632239314E-2</v>
      </c>
      <c r="N94" s="239"/>
      <c r="O94" s="38"/>
      <c r="P94" s="284">
        <f>SUMPRODUCT( P95:P101,$M$95:$M$101)</f>
        <v>0</v>
      </c>
      <c r="Q94" s="512">
        <f>+P94/$M$94</f>
        <v>0</v>
      </c>
      <c r="R94" s="284">
        <f>SUMPRODUCT( R95:R101,$M$95:$M$101)</f>
        <v>0</v>
      </c>
      <c r="S94" s="512">
        <f>+R94/$M$94</f>
        <v>0</v>
      </c>
      <c r="T94" s="263">
        <f>SUMPRODUCT( T95:T101,$M$95:$M$101)</f>
        <v>0</v>
      </c>
      <c r="U94" s="523">
        <f>+T94/$M$94</f>
        <v>0</v>
      </c>
      <c r="V94" s="284">
        <f>SUMPRODUCT( V95:V101,$M$95:$M$101)</f>
        <v>2.2961918632239314E-2</v>
      </c>
      <c r="W94" s="512">
        <f>+V94/$M$94</f>
        <v>1</v>
      </c>
      <c r="X94" s="284">
        <f>SUMPRODUCT( X95:X101,$M$95:$M$101)</f>
        <v>2.2961918632239314E-2</v>
      </c>
      <c r="Y94" s="512">
        <f>+X94/$M$94</f>
        <v>1</v>
      </c>
    </row>
    <row r="95" spans="1:25" ht="60" customHeight="1">
      <c r="B95" s="203" t="s">
        <v>106</v>
      </c>
      <c r="C95" s="204" t="s">
        <v>481</v>
      </c>
      <c r="D95" s="205">
        <v>119.12</v>
      </c>
      <c r="E95" s="353" t="s">
        <v>107</v>
      </c>
      <c r="F95" s="346">
        <f t="shared" si="22"/>
        <v>5.573630850627298</v>
      </c>
      <c r="G95" s="383">
        <f>I528*M95*0.2</f>
        <v>663.93090692672376</v>
      </c>
      <c r="H95" s="319">
        <v>114.3</v>
      </c>
      <c r="I95" s="206">
        <f t="shared" ref="I95:I101" si="24">$D95*$H95</f>
        <v>13615.416000000001</v>
      </c>
      <c r="J95" s="39"/>
      <c r="K95" s="207">
        <f t="shared" ref="K95:K101" si="25">+I95/$I$94</f>
        <v>0.59115327575570698</v>
      </c>
      <c r="L95" s="208">
        <f>+K95</f>
        <v>0.59115327575570698</v>
      </c>
      <c r="M95" s="209">
        <f t="shared" si="23"/>
        <v>1.3574013417084273E-2</v>
      </c>
      <c r="N95" s="210">
        <f>+M95</f>
        <v>1.3574013417084273E-2</v>
      </c>
      <c r="O95" s="39"/>
      <c r="P95" s="264">
        <v>0</v>
      </c>
      <c r="Q95" s="510"/>
      <c r="R95" s="264">
        <v>0</v>
      </c>
      <c r="S95" s="510"/>
      <c r="T95" s="264">
        <v>0</v>
      </c>
      <c r="U95" s="521"/>
      <c r="V95" s="264">
        <v>1</v>
      </c>
      <c r="W95" s="510"/>
      <c r="X95" s="264">
        <v>1</v>
      </c>
      <c r="Y95" s="510"/>
    </row>
    <row r="96" spans="1:25" ht="30.75" customHeight="1">
      <c r="B96" s="86" t="s">
        <v>108</v>
      </c>
      <c r="C96" s="96" t="s">
        <v>482</v>
      </c>
      <c r="D96" s="97">
        <v>1.36</v>
      </c>
      <c r="E96" s="350" t="s">
        <v>109</v>
      </c>
      <c r="F96" s="346">
        <f t="shared" si="22"/>
        <v>5.9061957010321811</v>
      </c>
      <c r="G96" s="383">
        <f>I528*M96*0.2</f>
        <v>8.0324261534037671</v>
      </c>
      <c r="H96" s="308">
        <v>121.12</v>
      </c>
      <c r="I96" s="114">
        <f t="shared" si="24"/>
        <v>164.72320000000002</v>
      </c>
      <c r="J96" s="39"/>
      <c r="K96" s="187">
        <f t="shared" si="25"/>
        <v>7.1519415398664634E-3</v>
      </c>
      <c r="L96" s="188">
        <f t="shared" ref="L96:L101" si="26">+L95+K96</f>
        <v>0.5983052172955734</v>
      </c>
      <c r="M96" s="189">
        <f t="shared" si="23"/>
        <v>1.6422229970094605E-4</v>
      </c>
      <c r="N96" s="190">
        <f t="shared" ref="N96:N101" si="27">+N95+M96</f>
        <v>1.3738235716785219E-2</v>
      </c>
      <c r="O96" s="39"/>
      <c r="P96" s="262">
        <v>0</v>
      </c>
      <c r="Q96" s="510"/>
      <c r="R96" s="264">
        <v>0</v>
      </c>
      <c r="S96" s="510"/>
      <c r="T96" s="264">
        <v>0</v>
      </c>
      <c r="U96" s="521"/>
      <c r="V96" s="264">
        <v>1</v>
      </c>
      <c r="W96" s="510"/>
      <c r="X96" s="264">
        <v>1</v>
      </c>
      <c r="Y96" s="510"/>
    </row>
    <row r="97" spans="1:25" ht="25.5" customHeight="1">
      <c r="B97" s="86" t="s">
        <v>110</v>
      </c>
      <c r="C97" s="96" t="s">
        <v>483</v>
      </c>
      <c r="D97" s="97">
        <v>3.58</v>
      </c>
      <c r="E97" s="350" t="s">
        <v>111</v>
      </c>
      <c r="F97" s="346">
        <f t="shared" si="22"/>
        <v>10.746428406485075</v>
      </c>
      <c r="G97" s="383">
        <f>I528*M97*0.2</f>
        <v>38.472213695216567</v>
      </c>
      <c r="H97" s="308">
        <v>220.38</v>
      </c>
      <c r="I97" s="114">
        <f t="shared" si="24"/>
        <v>788.96040000000005</v>
      </c>
      <c r="J97" s="39"/>
      <c r="K97" s="187">
        <f t="shared" si="25"/>
        <v>3.425503303766355E-2</v>
      </c>
      <c r="L97" s="188">
        <f t="shared" si="26"/>
        <v>0.63256025033323693</v>
      </c>
      <c r="M97" s="189">
        <f t="shared" ref="M97:M104" si="28">+I97/$I$514</f>
        <v>7.8656128135549995E-4</v>
      </c>
      <c r="N97" s="190">
        <f t="shared" si="27"/>
        <v>1.4524796998140719E-2</v>
      </c>
      <c r="O97" s="39"/>
      <c r="P97" s="262">
        <v>0</v>
      </c>
      <c r="Q97" s="510"/>
      <c r="R97" s="264">
        <v>0</v>
      </c>
      <c r="S97" s="510"/>
      <c r="T97" s="264">
        <v>0</v>
      </c>
      <c r="U97" s="521"/>
      <c r="V97" s="264">
        <v>1</v>
      </c>
      <c r="W97" s="510"/>
      <c r="X97" s="264">
        <v>1</v>
      </c>
      <c r="Y97" s="510"/>
    </row>
    <row r="98" spans="1:25" ht="25.5" customHeight="1">
      <c r="B98" s="86" t="s">
        <v>112</v>
      </c>
      <c r="C98" s="96" t="s">
        <v>484</v>
      </c>
      <c r="D98" s="97">
        <v>2.2400000000000002</v>
      </c>
      <c r="E98" s="350" t="s">
        <v>113</v>
      </c>
      <c r="F98" s="346">
        <f t="shared" si="22"/>
        <v>5.3805286794244633</v>
      </c>
      <c r="G98" s="383">
        <f>I528*M98*0.2</f>
        <v>12.052384241910799</v>
      </c>
      <c r="H98" s="308">
        <v>110.34</v>
      </c>
      <c r="I98" s="114">
        <f t="shared" si="24"/>
        <v>247.16160000000002</v>
      </c>
      <c r="J98" s="39"/>
      <c r="K98" s="187">
        <f t="shared" si="25"/>
        <v>1.0731246807370538E-2</v>
      </c>
      <c r="L98" s="188">
        <f t="shared" si="26"/>
        <v>0.64329149714060752</v>
      </c>
      <c r="M98" s="189">
        <f t="shared" si="28"/>
        <v>2.4641001601332025E-4</v>
      </c>
      <c r="N98" s="190">
        <f t="shared" si="27"/>
        <v>1.4771207014154039E-2</v>
      </c>
      <c r="O98" s="39"/>
      <c r="P98" s="262">
        <v>0</v>
      </c>
      <c r="Q98" s="510"/>
      <c r="R98" s="264">
        <v>0</v>
      </c>
      <c r="S98" s="510"/>
      <c r="T98" s="264">
        <v>0</v>
      </c>
      <c r="U98" s="521"/>
      <c r="V98" s="264">
        <v>1</v>
      </c>
      <c r="W98" s="510"/>
      <c r="X98" s="264">
        <v>1</v>
      </c>
      <c r="Y98" s="510"/>
    </row>
    <row r="99" spans="1:25" ht="25.5" customHeight="1">
      <c r="B99" s="86" t="s">
        <v>114</v>
      </c>
      <c r="C99" s="96" t="s">
        <v>485</v>
      </c>
      <c r="D99" s="97">
        <v>6</v>
      </c>
      <c r="E99" s="350" t="s">
        <v>115</v>
      </c>
      <c r="F99" s="346">
        <f t="shared" si="22"/>
        <v>8.3814144409957994</v>
      </c>
      <c r="G99" s="383">
        <f>I528*M99*0.2</f>
        <v>50.2884866459748</v>
      </c>
      <c r="H99" s="308">
        <v>171.88</v>
      </c>
      <c r="I99" s="114">
        <f t="shared" si="24"/>
        <v>1031.28</v>
      </c>
      <c r="J99" s="39"/>
      <c r="K99" s="187">
        <f t="shared" si="25"/>
        <v>4.4776050193497244E-2</v>
      </c>
      <c r="L99" s="188">
        <f t="shared" si="26"/>
        <v>0.6880675473341048</v>
      </c>
      <c r="M99" s="189">
        <f t="shared" si="28"/>
        <v>1.028144021216147E-3</v>
      </c>
      <c r="N99" s="190">
        <f t="shared" si="27"/>
        <v>1.5799351035370186E-2</v>
      </c>
      <c r="O99" s="39"/>
      <c r="P99" s="262">
        <v>0</v>
      </c>
      <c r="Q99" s="510"/>
      <c r="R99" s="264">
        <v>0</v>
      </c>
      <c r="S99" s="510"/>
      <c r="T99" s="264">
        <v>0</v>
      </c>
      <c r="U99" s="521"/>
      <c r="V99" s="264">
        <v>1</v>
      </c>
      <c r="W99" s="510"/>
      <c r="X99" s="264">
        <v>1</v>
      </c>
      <c r="Y99" s="510"/>
    </row>
    <row r="100" spans="1:25" ht="56.25" customHeight="1">
      <c r="B100" s="86" t="s">
        <v>116</v>
      </c>
      <c r="C100" s="96" t="s">
        <v>470</v>
      </c>
      <c r="D100" s="97">
        <v>24.88</v>
      </c>
      <c r="E100" s="350" t="s">
        <v>117</v>
      </c>
      <c r="F100" s="346">
        <f t="shared" si="22"/>
        <v>10.746428406485075</v>
      </c>
      <c r="G100" s="383">
        <f>I528*M100*0.2</f>
        <v>267.37113875334865</v>
      </c>
      <c r="H100" s="308">
        <v>220.38</v>
      </c>
      <c r="I100" s="114">
        <f t="shared" si="24"/>
        <v>5483.0544</v>
      </c>
      <c r="J100" s="39"/>
      <c r="K100" s="187">
        <f t="shared" si="25"/>
        <v>0.23806291116677908</v>
      </c>
      <c r="L100" s="188">
        <f t="shared" si="26"/>
        <v>0.92613045850088382</v>
      </c>
      <c r="M100" s="189">
        <f t="shared" si="28"/>
        <v>5.4663811955655969E-3</v>
      </c>
      <c r="N100" s="190">
        <f t="shared" si="27"/>
        <v>2.1265732230935783E-2</v>
      </c>
      <c r="O100" s="39"/>
      <c r="P100" s="262">
        <v>0</v>
      </c>
      <c r="Q100" s="510"/>
      <c r="R100" s="264">
        <v>0</v>
      </c>
      <c r="S100" s="510"/>
      <c r="T100" s="264">
        <v>0</v>
      </c>
      <c r="U100" s="521"/>
      <c r="V100" s="264">
        <v>1</v>
      </c>
      <c r="W100" s="510"/>
      <c r="X100" s="264">
        <v>1</v>
      </c>
      <c r="Y100" s="510"/>
    </row>
    <row r="101" spans="1:25" ht="12" customHeight="1" thickBot="1">
      <c r="B101" s="153" t="s">
        <v>118</v>
      </c>
      <c r="C101" s="174" t="s">
        <v>119</v>
      </c>
      <c r="D101" s="97">
        <v>12</v>
      </c>
      <c r="E101" s="350" t="s">
        <v>120</v>
      </c>
      <c r="F101" s="344">
        <f t="shared" si="22"/>
        <v>6.9136428871560662</v>
      </c>
      <c r="G101" s="383">
        <f>I528*M101*0.2</f>
        <v>82.963714645872798</v>
      </c>
      <c r="H101" s="308">
        <v>141.78</v>
      </c>
      <c r="I101" s="114">
        <f t="shared" si="24"/>
        <v>1701.3600000000001</v>
      </c>
      <c r="J101" s="39"/>
      <c r="K101" s="194">
        <f t="shared" si="25"/>
        <v>7.386954149911612E-2</v>
      </c>
      <c r="L101" s="195">
        <f t="shared" si="26"/>
        <v>1</v>
      </c>
      <c r="M101" s="196">
        <f t="shared" si="28"/>
        <v>1.6961864013035298E-3</v>
      </c>
      <c r="N101" s="197">
        <f t="shared" si="27"/>
        <v>2.2961918632239314E-2</v>
      </c>
      <c r="O101" s="39"/>
      <c r="P101" s="265">
        <v>0</v>
      </c>
      <c r="Q101" s="510"/>
      <c r="R101" s="264">
        <v>0</v>
      </c>
      <c r="S101" s="510"/>
      <c r="T101" s="264">
        <v>0</v>
      </c>
      <c r="U101" s="521"/>
      <c r="V101" s="264">
        <v>1</v>
      </c>
      <c r="W101" s="510"/>
      <c r="X101" s="264">
        <v>1</v>
      </c>
      <c r="Y101" s="510"/>
    </row>
    <row r="102" spans="1:25" s="6" customFormat="1" ht="12" customHeight="1">
      <c r="A102" s="291" t="s">
        <v>70</v>
      </c>
      <c r="B102" s="234" t="s">
        <v>121</v>
      </c>
      <c r="C102" s="235" t="s">
        <v>122</v>
      </c>
      <c r="D102" s="236"/>
      <c r="E102" s="363"/>
      <c r="F102" s="396">
        <f>+G102/D$3</f>
        <v>2.4987863490537139</v>
      </c>
      <c r="G102" s="382">
        <f>SUM(G103:G109)</f>
        <v>2300.9074580721503</v>
      </c>
      <c r="H102" s="318"/>
      <c r="I102" s="237">
        <f>SUM(I103:I109)</f>
        <v>9437.0700000000015</v>
      </c>
      <c r="J102" s="38"/>
      <c r="K102" s="557" t="str">
        <f>+C102</f>
        <v>Carpintaria / Marcenaria</v>
      </c>
      <c r="L102" s="558"/>
      <c r="M102" s="238">
        <f t="shared" si="28"/>
        <v>9.4083731850692996E-3</v>
      </c>
      <c r="N102" s="239"/>
      <c r="O102" s="38"/>
      <c r="P102" s="284">
        <f>SUMPRODUCT( P103:P109,$M$103:$M$109)</f>
        <v>0</v>
      </c>
      <c r="Q102" s="512">
        <f>+P102/$M$102</f>
        <v>0</v>
      </c>
      <c r="R102" s="284">
        <f>SUMPRODUCT( R103:R109,$M$103:$M$109)</f>
        <v>0</v>
      </c>
      <c r="S102" s="512">
        <f>+R102/$M$102</f>
        <v>0</v>
      </c>
      <c r="T102" s="263">
        <f>SUMPRODUCT( T103:T109,$M$103:$M$109)</f>
        <v>0</v>
      </c>
      <c r="U102" s="523">
        <f>+T102/$M$102</f>
        <v>0</v>
      </c>
      <c r="V102" s="284">
        <f>SUMPRODUCT( V103:V109,$M$103:$M$109)</f>
        <v>0</v>
      </c>
      <c r="W102" s="512">
        <f>+V102/$M$102</f>
        <v>0</v>
      </c>
      <c r="X102" s="284">
        <f>SUMPRODUCT( X103:X109,$M$103:$M$109)</f>
        <v>0</v>
      </c>
      <c r="Y102" s="512">
        <f>+X102/$M$102</f>
        <v>0</v>
      </c>
    </row>
    <row r="103" spans="1:25" ht="25.5" customHeight="1">
      <c r="B103" s="203" t="s">
        <v>123</v>
      </c>
      <c r="C103" s="204" t="s">
        <v>465</v>
      </c>
      <c r="D103" s="205">
        <v>2</v>
      </c>
      <c r="E103" s="353" t="s">
        <v>124</v>
      </c>
      <c r="F103" s="346">
        <f t="shared" si="22"/>
        <v>55.29012545917552</v>
      </c>
      <c r="G103" s="383">
        <f>I528*M103</f>
        <v>110.58025091835104</v>
      </c>
      <c r="H103" s="319">
        <v>226.77</v>
      </c>
      <c r="I103" s="206">
        <f>$D103*$H103</f>
        <v>453.54</v>
      </c>
      <c r="J103" s="39"/>
      <c r="K103" s="207">
        <f t="shared" ref="K103:K109" si="29">+I103/$I$102</f>
        <v>4.805940826972778E-2</v>
      </c>
      <c r="L103" s="208">
        <f>+K103</f>
        <v>4.805940826972778E-2</v>
      </c>
      <c r="M103" s="209">
        <f t="shared" si="28"/>
        <v>4.5216084805520457E-4</v>
      </c>
      <c r="N103" s="210">
        <f>+M103</f>
        <v>4.5216084805520457E-4</v>
      </c>
      <c r="O103" s="39"/>
      <c r="P103" s="264">
        <v>0</v>
      </c>
      <c r="Q103" s="510"/>
      <c r="R103" s="264">
        <v>0</v>
      </c>
      <c r="S103" s="510"/>
      <c r="T103" s="264">
        <v>0</v>
      </c>
      <c r="U103" s="521"/>
      <c r="V103" s="264">
        <v>0</v>
      </c>
      <c r="W103" s="510"/>
      <c r="X103" s="264">
        <v>0</v>
      </c>
      <c r="Y103" s="510"/>
    </row>
    <row r="104" spans="1:25" ht="25.5" customHeight="1">
      <c r="B104" s="86" t="s">
        <v>125</v>
      </c>
      <c r="C104" s="96" t="s">
        <v>466</v>
      </c>
      <c r="D104" s="97">
        <v>4</v>
      </c>
      <c r="E104" s="350" t="s">
        <v>126</v>
      </c>
      <c r="F104" s="339">
        <f t="shared" si="22"/>
        <v>55.29012545917552</v>
      </c>
      <c r="G104" s="372">
        <f>I528*M104</f>
        <v>221.16050183670208</v>
      </c>
      <c r="H104" s="308">
        <v>226.77</v>
      </c>
      <c r="I104" s="114">
        <f>$D104*$H104</f>
        <v>907.08</v>
      </c>
      <c r="J104" s="39"/>
      <c r="K104" s="187">
        <f t="shared" si="29"/>
        <v>9.6118816539455559E-2</v>
      </c>
      <c r="L104" s="188">
        <f t="shared" ref="L104:L109" si="30">+L103+K104</f>
        <v>0.14417822480918335</v>
      </c>
      <c r="M104" s="189">
        <f t="shared" si="28"/>
        <v>9.0432169611040915E-4</v>
      </c>
      <c r="N104" s="190">
        <f t="shared" ref="N104:N109" si="31">+N103+M104</f>
        <v>1.3564825441656136E-3</v>
      </c>
      <c r="O104" s="39"/>
      <c r="P104" s="262">
        <v>0</v>
      </c>
      <c r="Q104" s="510"/>
      <c r="R104" s="262">
        <v>0</v>
      </c>
      <c r="S104" s="510"/>
      <c r="T104" s="262">
        <v>0</v>
      </c>
      <c r="U104" s="521"/>
      <c r="V104" s="262">
        <v>0</v>
      </c>
      <c r="W104" s="510"/>
      <c r="X104" s="262">
        <v>0</v>
      </c>
      <c r="Y104" s="510"/>
    </row>
    <row r="105" spans="1:25" ht="25.5" customHeight="1">
      <c r="B105" s="86" t="s">
        <v>127</v>
      </c>
      <c r="C105" s="96" t="s">
        <v>128</v>
      </c>
      <c r="D105" s="97">
        <v>30</v>
      </c>
      <c r="E105" s="350" t="s">
        <v>129</v>
      </c>
      <c r="F105" s="339">
        <f t="shared" si="22"/>
        <v>55.29012545917552</v>
      </c>
      <c r="G105" s="372">
        <f>I528*M105</f>
        <v>1658.7037637752655</v>
      </c>
      <c r="H105" s="308">
        <v>226.77</v>
      </c>
      <c r="I105" s="114">
        <f>$D105*$H105</f>
        <v>6803.1</v>
      </c>
      <c r="J105" s="39"/>
      <c r="K105" s="187">
        <f t="shared" si="29"/>
        <v>0.72089112404591671</v>
      </c>
      <c r="L105" s="188">
        <f t="shared" si="30"/>
        <v>0.86506934885510001</v>
      </c>
      <c r="M105" s="189">
        <f t="shared" ref="M105:M112" si="32">+I105/$I$514</f>
        <v>6.7824127208280689E-3</v>
      </c>
      <c r="N105" s="190">
        <f t="shared" si="31"/>
        <v>8.1388952649936834E-3</v>
      </c>
      <c r="O105" s="39"/>
      <c r="P105" s="262">
        <v>0</v>
      </c>
      <c r="Q105" s="510"/>
      <c r="R105" s="262">
        <v>0</v>
      </c>
      <c r="S105" s="510"/>
      <c r="T105" s="262">
        <v>0</v>
      </c>
      <c r="U105" s="521"/>
      <c r="V105" s="262">
        <v>0</v>
      </c>
      <c r="W105" s="510"/>
      <c r="X105" s="262">
        <v>0</v>
      </c>
      <c r="Y105" s="510"/>
    </row>
    <row r="106" spans="1:25" ht="25.5" customHeight="1">
      <c r="B106" s="86" t="s">
        <v>130</v>
      </c>
      <c r="C106" s="96" t="s">
        <v>467</v>
      </c>
      <c r="D106" s="97">
        <v>7</v>
      </c>
      <c r="E106" s="350" t="s">
        <v>131</v>
      </c>
      <c r="F106" s="339">
        <f t="shared" si="22"/>
        <v>28.287517554233556</v>
      </c>
      <c r="G106" s="372">
        <f>I528*M106</f>
        <v>198.0126228796349</v>
      </c>
      <c r="H106" s="308">
        <v>116.02</v>
      </c>
      <c r="I106" s="114">
        <f>$D106*$H106</f>
        <v>812.14</v>
      </c>
      <c r="J106" s="39"/>
      <c r="K106" s="187">
        <f t="shared" si="29"/>
        <v>8.6058490612022573E-2</v>
      </c>
      <c r="L106" s="188">
        <f t="shared" si="30"/>
        <v>0.95112783946712254</v>
      </c>
      <c r="M106" s="189">
        <f t="shared" si="32"/>
        <v>8.0967039542169123E-4</v>
      </c>
      <c r="N106" s="190">
        <f t="shared" si="31"/>
        <v>8.9485656604153738E-3</v>
      </c>
      <c r="O106" s="39"/>
      <c r="P106" s="262">
        <v>0</v>
      </c>
      <c r="Q106" s="510"/>
      <c r="R106" s="262">
        <v>0</v>
      </c>
      <c r="S106" s="510"/>
      <c r="T106" s="262">
        <v>0</v>
      </c>
      <c r="U106" s="521"/>
      <c r="V106" s="262">
        <v>0</v>
      </c>
      <c r="W106" s="510"/>
      <c r="X106" s="262">
        <v>0</v>
      </c>
      <c r="Y106" s="510"/>
    </row>
    <row r="107" spans="1:25" ht="25.5" customHeight="1">
      <c r="B107" s="86" t="s">
        <v>132</v>
      </c>
      <c r="C107" s="96" t="s">
        <v>468</v>
      </c>
      <c r="D107" s="97">
        <v>1</v>
      </c>
      <c r="E107" s="350" t="s">
        <v>133</v>
      </c>
      <c r="F107" s="339">
        <f t="shared" si="22"/>
        <v>66.339860811337772</v>
      </c>
      <c r="G107" s="372">
        <f>I528*M107</f>
        <v>66.339860811337772</v>
      </c>
      <c r="H107" s="308">
        <v>272.08999999999997</v>
      </c>
      <c r="I107" s="114">
        <f>$D107*$H107</f>
        <v>272.08999999999997</v>
      </c>
      <c r="J107" s="39"/>
      <c r="K107" s="187">
        <f t="shared" si="29"/>
        <v>2.8832042148675376E-2</v>
      </c>
      <c r="L107" s="188">
        <f t="shared" si="30"/>
        <v>0.97995988161579795</v>
      </c>
      <c r="M107" s="189">
        <f t="shared" si="32"/>
        <v>2.7126261222238523E-4</v>
      </c>
      <c r="N107" s="190">
        <f t="shared" si="31"/>
        <v>9.2198282726377589E-3</v>
      </c>
      <c r="O107" s="39"/>
      <c r="P107" s="262">
        <v>0</v>
      </c>
      <c r="Q107" s="510"/>
      <c r="R107" s="262">
        <v>0</v>
      </c>
      <c r="S107" s="510"/>
      <c r="T107" s="262">
        <v>0</v>
      </c>
      <c r="U107" s="521"/>
      <c r="V107" s="262">
        <v>0</v>
      </c>
      <c r="W107" s="510"/>
      <c r="X107" s="262">
        <v>0</v>
      </c>
      <c r="Y107" s="510"/>
    </row>
    <row r="108" spans="1:25" ht="12.75" customHeight="1">
      <c r="B108" s="153"/>
      <c r="C108" s="96" t="s">
        <v>134</v>
      </c>
      <c r="D108" s="97">
        <v>1</v>
      </c>
      <c r="E108" s="350"/>
      <c r="F108" s="339">
        <f t="shared" si="22"/>
        <v>0</v>
      </c>
      <c r="G108" s="372">
        <f>I528*M108</f>
        <v>0</v>
      </c>
      <c r="H108" s="308"/>
      <c r="I108" s="114"/>
      <c r="J108" s="39"/>
      <c r="K108" s="187">
        <f t="shared" si="29"/>
        <v>0</v>
      </c>
      <c r="L108" s="188">
        <f t="shared" si="30"/>
        <v>0.97995988161579795</v>
      </c>
      <c r="M108" s="189">
        <f t="shared" si="32"/>
        <v>0</v>
      </c>
      <c r="N108" s="190">
        <f t="shared" si="31"/>
        <v>9.2198282726377589E-3</v>
      </c>
      <c r="O108" s="39"/>
      <c r="P108" s="262">
        <v>0</v>
      </c>
      <c r="Q108" s="510"/>
      <c r="R108" s="262">
        <v>0</v>
      </c>
      <c r="S108" s="510"/>
      <c r="T108" s="262">
        <v>0</v>
      </c>
      <c r="U108" s="521"/>
      <c r="V108" s="262">
        <v>0</v>
      </c>
      <c r="W108" s="510"/>
      <c r="X108" s="262">
        <v>0</v>
      </c>
      <c r="Y108" s="510"/>
    </row>
    <row r="109" spans="1:25" ht="25.5" customHeight="1" thickBot="1">
      <c r="B109" s="86" t="s">
        <v>135</v>
      </c>
      <c r="C109" s="96" t="s">
        <v>469</v>
      </c>
      <c r="D109" s="97">
        <v>2</v>
      </c>
      <c r="E109" s="350" t="s">
        <v>136</v>
      </c>
      <c r="F109" s="339">
        <f t="shared" si="22"/>
        <v>23.055228925429454</v>
      </c>
      <c r="G109" s="372">
        <f>I528*M109</f>
        <v>46.110457850858907</v>
      </c>
      <c r="H109" s="308">
        <v>94.56</v>
      </c>
      <c r="I109" s="114">
        <f>$D109*$H109</f>
        <v>189.12</v>
      </c>
      <c r="J109" s="39"/>
      <c r="K109" s="194">
        <f t="shared" si="29"/>
        <v>2.0040118384201874E-2</v>
      </c>
      <c r="L109" s="195">
        <f t="shared" si="30"/>
        <v>0.99999999999999978</v>
      </c>
      <c r="M109" s="196">
        <f t="shared" si="32"/>
        <v>1.8854491243153919E-4</v>
      </c>
      <c r="N109" s="197">
        <f t="shared" si="31"/>
        <v>9.4083731850692978E-3</v>
      </c>
      <c r="O109" s="39"/>
      <c r="P109" s="265">
        <v>0</v>
      </c>
      <c r="Q109" s="513"/>
      <c r="R109" s="262">
        <v>0</v>
      </c>
      <c r="S109" s="513"/>
      <c r="T109" s="262">
        <v>0</v>
      </c>
      <c r="U109" s="524"/>
      <c r="V109" s="262">
        <v>0</v>
      </c>
      <c r="W109" s="513"/>
      <c r="X109" s="262">
        <v>0</v>
      </c>
      <c r="Y109" s="513"/>
    </row>
    <row r="110" spans="1:25" s="6" customFormat="1" ht="12" customHeight="1">
      <c r="A110" s="291" t="s">
        <v>70</v>
      </c>
      <c r="B110" s="234" t="s">
        <v>137</v>
      </c>
      <c r="C110" s="235" t="s">
        <v>138</v>
      </c>
      <c r="D110" s="236"/>
      <c r="E110" s="363"/>
      <c r="F110" s="395">
        <f>+G110/D$3</f>
        <v>1.0198743207772296</v>
      </c>
      <c r="G110" s="382">
        <f>SUM(G111:G116)</f>
        <v>939.11047331488066</v>
      </c>
      <c r="H110" s="318"/>
      <c r="I110" s="237">
        <f>SUM(I111:I116)</f>
        <v>3851.7199999999993</v>
      </c>
      <c r="J110" s="38"/>
      <c r="K110" s="557" t="str">
        <f>+C110</f>
        <v>Ferragens</v>
      </c>
      <c r="L110" s="558"/>
      <c r="M110" s="238">
        <f t="shared" si="32"/>
        <v>3.8400074561696701E-3</v>
      </c>
      <c r="N110" s="239"/>
      <c r="O110" s="38"/>
      <c r="P110" s="284">
        <f>SUMPRODUCT( P111:P116,$M$111:$M$116)</f>
        <v>0</v>
      </c>
      <c r="Q110" s="512">
        <f>+P110/$M$110</f>
        <v>0</v>
      </c>
      <c r="R110" s="284">
        <f>SUMPRODUCT( R111:R116,$M$111:$M$116)</f>
        <v>0</v>
      </c>
      <c r="S110" s="512">
        <f>+R110/$M$110</f>
        <v>0</v>
      </c>
      <c r="T110" s="263">
        <f>SUMPRODUCT( T111:T116,$M$111:$M$116)</f>
        <v>0</v>
      </c>
      <c r="U110" s="523">
        <f>+T110/$M$110</f>
        <v>0</v>
      </c>
      <c r="V110" s="284">
        <f>SUMPRODUCT( V111:V116,$M$111:$M$116)</f>
        <v>0</v>
      </c>
      <c r="W110" s="512">
        <f>+V110/$M$110</f>
        <v>0</v>
      </c>
      <c r="X110" s="284">
        <f>SUMPRODUCT( X111:X116,$M$111:$M$116)</f>
        <v>0</v>
      </c>
      <c r="Y110" s="512">
        <f>+X110/$M$110</f>
        <v>0</v>
      </c>
    </row>
    <row r="111" spans="1:25" ht="12.75" customHeight="1">
      <c r="B111" s="203" t="s">
        <v>139</v>
      </c>
      <c r="C111" s="204" t="s">
        <v>140</v>
      </c>
      <c r="D111" s="205">
        <v>7</v>
      </c>
      <c r="E111" s="353" t="s">
        <v>141</v>
      </c>
      <c r="F111" s="339">
        <f t="shared" si="22"/>
        <v>3.3841643135042387</v>
      </c>
      <c r="G111" s="383">
        <f>I528*M111</f>
        <v>23.68915019452967</v>
      </c>
      <c r="H111" s="319">
        <v>13.88</v>
      </c>
      <c r="I111" s="206">
        <f t="shared" ref="I111:I116" si="33">$D111*$H111</f>
        <v>97.160000000000011</v>
      </c>
      <c r="J111" s="39"/>
      <c r="K111" s="207">
        <f t="shared" ref="K111:K116" si="34">+I111/$I$110</f>
        <v>2.5225094243610652E-2</v>
      </c>
      <c r="L111" s="208">
        <f>+K111</f>
        <v>2.5225094243610652E-2</v>
      </c>
      <c r="M111" s="209">
        <f t="shared" si="32"/>
        <v>9.6864549978047533E-5</v>
      </c>
      <c r="N111" s="210">
        <f>+M111</f>
        <v>9.6864549978047533E-5</v>
      </c>
      <c r="O111" s="39"/>
      <c r="P111" s="264">
        <v>0</v>
      </c>
      <c r="Q111" s="510"/>
      <c r="R111" s="264">
        <v>0</v>
      </c>
      <c r="S111" s="510"/>
      <c r="T111" s="264">
        <v>0</v>
      </c>
      <c r="U111" s="521"/>
      <c r="V111" s="264">
        <v>0</v>
      </c>
      <c r="W111" s="510"/>
      <c r="X111" s="264">
        <v>0</v>
      </c>
      <c r="Y111" s="510"/>
    </row>
    <row r="112" spans="1:25" ht="25.5" customHeight="1">
      <c r="B112" s="86" t="s">
        <v>142</v>
      </c>
      <c r="C112" s="96" t="s">
        <v>143</v>
      </c>
      <c r="D112" s="97">
        <v>5</v>
      </c>
      <c r="E112" s="350" t="s">
        <v>144</v>
      </c>
      <c r="F112" s="339">
        <f t="shared" si="22"/>
        <v>33.236979770669862</v>
      </c>
      <c r="G112" s="372">
        <f>I528*M112</f>
        <v>166.18489885334932</v>
      </c>
      <c r="H112" s="308">
        <v>136.32</v>
      </c>
      <c r="I112" s="114">
        <f t="shared" si="33"/>
        <v>681.59999999999991</v>
      </c>
      <c r="J112" s="39"/>
      <c r="K112" s="187">
        <f t="shared" si="34"/>
        <v>0.17695990362747033</v>
      </c>
      <c r="L112" s="188">
        <f>+L111+K112</f>
        <v>0.20218499787108099</v>
      </c>
      <c r="M112" s="189">
        <f t="shared" si="32"/>
        <v>6.7952734937255235E-4</v>
      </c>
      <c r="N112" s="190">
        <f>+N111+M112</f>
        <v>7.7639189935059983E-4</v>
      </c>
      <c r="O112" s="39"/>
      <c r="P112" s="262">
        <v>0</v>
      </c>
      <c r="Q112" s="510"/>
      <c r="R112" s="262">
        <v>0</v>
      </c>
      <c r="S112" s="510"/>
      <c r="T112" s="262">
        <v>0</v>
      </c>
      <c r="U112" s="521"/>
      <c r="V112" s="262">
        <v>0</v>
      </c>
      <c r="W112" s="510"/>
      <c r="X112" s="262">
        <v>0</v>
      </c>
      <c r="Y112" s="510"/>
    </row>
    <row r="113" spans="1:25" ht="12" customHeight="1">
      <c r="B113" s="86" t="s">
        <v>145</v>
      </c>
      <c r="C113" s="96" t="s">
        <v>146</v>
      </c>
      <c r="D113" s="97">
        <v>39</v>
      </c>
      <c r="E113" s="350" t="s">
        <v>147</v>
      </c>
      <c r="F113" s="339">
        <f t="shared" si="22"/>
        <v>14.797185316035462</v>
      </c>
      <c r="G113" s="372">
        <f>I528*M113</f>
        <v>577.09022732538301</v>
      </c>
      <c r="H113" s="308">
        <v>60.69</v>
      </c>
      <c r="I113" s="114">
        <f t="shared" si="33"/>
        <v>2366.91</v>
      </c>
      <c r="J113" s="39"/>
      <c r="K113" s="187">
        <f t="shared" si="34"/>
        <v>0.61450728505706553</v>
      </c>
      <c r="L113" s="188">
        <f>+L112+K113</f>
        <v>0.81669228292814655</v>
      </c>
      <c r="M113" s="189">
        <f t="shared" ref="M113:M119" si="35">+I113/$I$514</f>
        <v>2.3597125564897123E-3</v>
      </c>
      <c r="N113" s="190">
        <f>+N112+M113</f>
        <v>3.1361044558403123E-3</v>
      </c>
      <c r="O113" s="39"/>
      <c r="P113" s="262">
        <v>0</v>
      </c>
      <c r="Q113" s="510"/>
      <c r="R113" s="262">
        <v>0</v>
      </c>
      <c r="S113" s="510"/>
      <c r="T113" s="262">
        <v>0</v>
      </c>
      <c r="U113" s="521"/>
      <c r="V113" s="262">
        <v>0</v>
      </c>
      <c r="W113" s="510"/>
      <c r="X113" s="262">
        <v>0</v>
      </c>
      <c r="Y113" s="510"/>
    </row>
    <row r="114" spans="1:25" ht="12.75" customHeight="1">
      <c r="B114" s="86" t="s">
        <v>148</v>
      </c>
      <c r="C114" s="96" t="s">
        <v>149</v>
      </c>
      <c r="D114" s="97">
        <v>10</v>
      </c>
      <c r="E114" s="350" t="s">
        <v>150</v>
      </c>
      <c r="F114" s="339">
        <f t="shared" si="22"/>
        <v>2.1845902196684426</v>
      </c>
      <c r="G114" s="372">
        <f>I528*M114</f>
        <v>21.845902196684424</v>
      </c>
      <c r="H114" s="308">
        <v>8.9600000000000009</v>
      </c>
      <c r="I114" s="114">
        <f t="shared" si="33"/>
        <v>89.600000000000009</v>
      </c>
      <c r="J114" s="39"/>
      <c r="K114" s="187">
        <f t="shared" si="34"/>
        <v>2.3262334749151035E-2</v>
      </c>
      <c r="L114" s="188">
        <f>+L113+K114</f>
        <v>0.83995461767729762</v>
      </c>
      <c r="M114" s="189">
        <f t="shared" si="35"/>
        <v>8.9327538884654789E-5</v>
      </c>
      <c r="N114" s="190">
        <f>+N113+M114</f>
        <v>3.2254319947249673E-3</v>
      </c>
      <c r="O114" s="39"/>
      <c r="P114" s="262">
        <v>0</v>
      </c>
      <c r="Q114" s="510"/>
      <c r="R114" s="262">
        <v>0</v>
      </c>
      <c r="S114" s="510"/>
      <c r="T114" s="262">
        <v>0</v>
      </c>
      <c r="U114" s="521"/>
      <c r="V114" s="262">
        <v>0</v>
      </c>
      <c r="W114" s="510"/>
      <c r="X114" s="262">
        <v>0</v>
      </c>
      <c r="Y114" s="510"/>
    </row>
    <row r="115" spans="1:25" ht="12.75" customHeight="1">
      <c r="B115" s="86" t="s">
        <v>151</v>
      </c>
      <c r="C115" s="96" t="s">
        <v>152</v>
      </c>
      <c r="D115" s="97">
        <v>49</v>
      </c>
      <c r="E115" s="350" t="s">
        <v>153</v>
      </c>
      <c r="F115" s="339">
        <f t="shared" si="22"/>
        <v>2.6429640604024454</v>
      </c>
      <c r="G115" s="372">
        <f>I528*M115</f>
        <v>129.50523895971983</v>
      </c>
      <c r="H115" s="308">
        <v>10.84</v>
      </c>
      <c r="I115" s="114">
        <f t="shared" si="33"/>
        <v>531.16</v>
      </c>
      <c r="J115" s="39"/>
      <c r="K115" s="187">
        <f t="shared" si="34"/>
        <v>0.13790202818481095</v>
      </c>
      <c r="L115" s="188">
        <f>+L114+K115</f>
        <v>0.97785664586210852</v>
      </c>
      <c r="M115" s="189">
        <f t="shared" si="35"/>
        <v>5.2954481645059405E-4</v>
      </c>
      <c r="N115" s="190">
        <f>+N114+M115</f>
        <v>3.7549768111755613E-3</v>
      </c>
      <c r="O115" s="39"/>
      <c r="P115" s="262">
        <v>0</v>
      </c>
      <c r="Q115" s="510"/>
      <c r="R115" s="262">
        <v>0</v>
      </c>
      <c r="S115" s="510"/>
      <c r="T115" s="262">
        <v>0</v>
      </c>
      <c r="U115" s="521"/>
      <c r="V115" s="262">
        <v>0</v>
      </c>
      <c r="W115" s="510"/>
      <c r="X115" s="262">
        <v>0</v>
      </c>
      <c r="Y115" s="510"/>
    </row>
    <row r="116" spans="1:25" ht="13.5" customHeight="1" thickBot="1">
      <c r="B116" s="153" t="s">
        <v>154</v>
      </c>
      <c r="C116" s="174" t="s">
        <v>155</v>
      </c>
      <c r="D116" s="97">
        <v>1</v>
      </c>
      <c r="E116" s="350" t="s">
        <v>156</v>
      </c>
      <c r="F116" s="339">
        <f t="shared" si="22"/>
        <v>20.795055785214448</v>
      </c>
      <c r="G116" s="372">
        <f>I528*M116</f>
        <v>20.795055785214448</v>
      </c>
      <c r="H116" s="308">
        <v>85.29</v>
      </c>
      <c r="I116" s="114">
        <f t="shared" si="33"/>
        <v>85.29</v>
      </c>
      <c r="J116" s="39"/>
      <c r="K116" s="194">
        <f t="shared" si="34"/>
        <v>2.214335413789165E-2</v>
      </c>
      <c r="L116" s="195">
        <f>+L115+K116</f>
        <v>1.0000000000000002</v>
      </c>
      <c r="M116" s="196">
        <f t="shared" si="35"/>
        <v>8.503064499410945E-5</v>
      </c>
      <c r="N116" s="197">
        <f>+N115+M116</f>
        <v>3.8400074561696709E-3</v>
      </c>
      <c r="O116" s="39"/>
      <c r="P116" s="265">
        <v>0</v>
      </c>
      <c r="Q116" s="513"/>
      <c r="R116" s="262">
        <v>0</v>
      </c>
      <c r="S116" s="513"/>
      <c r="T116" s="262">
        <v>0</v>
      </c>
      <c r="U116" s="524"/>
      <c r="V116" s="262">
        <v>0</v>
      </c>
      <c r="W116" s="513"/>
      <c r="X116" s="262">
        <v>0</v>
      </c>
      <c r="Y116" s="513"/>
    </row>
    <row r="117" spans="1:25" s="6" customFormat="1" ht="12" customHeight="1">
      <c r="A117" s="291" t="s">
        <v>70</v>
      </c>
      <c r="B117" s="234" t="s">
        <v>157</v>
      </c>
      <c r="C117" s="235" t="s">
        <v>158</v>
      </c>
      <c r="D117" s="236"/>
      <c r="E117" s="363"/>
      <c r="F117" s="395">
        <f>+G117/D$3</f>
        <v>0.24571636875174963</v>
      </c>
      <c r="G117" s="382">
        <f>SUM(G118:G121)</f>
        <v>226.25808951029856</v>
      </c>
      <c r="H117" s="318"/>
      <c r="I117" s="237">
        <f>SUM(I118:I121)</f>
        <v>8270.6252999999997</v>
      </c>
      <c r="J117" s="38"/>
      <c r="K117" s="557" t="str">
        <f>+C117</f>
        <v>Vidraçaria</v>
      </c>
      <c r="L117" s="558"/>
      <c r="M117" s="238">
        <f t="shared" si="35"/>
        <v>8.2454754808723163E-3</v>
      </c>
      <c r="N117" s="239"/>
      <c r="O117" s="38"/>
      <c r="P117" s="284">
        <f>SUMPRODUCT( P118:P121,$M$118:$M$121)</f>
        <v>0</v>
      </c>
      <c r="Q117" s="512">
        <f>+P117/$M$117</f>
        <v>0</v>
      </c>
      <c r="R117" s="284">
        <f>SUMPRODUCT( R118:R121,$M$118:$M$121)</f>
        <v>0</v>
      </c>
      <c r="S117" s="512">
        <f>+R117/$M$117</f>
        <v>0</v>
      </c>
      <c r="T117" s="263">
        <f>SUMPRODUCT( T118:T121,$M$118:$M$121)</f>
        <v>0</v>
      </c>
      <c r="U117" s="523">
        <f>+T117/$M$117</f>
        <v>0</v>
      </c>
      <c r="V117" s="284">
        <f>SUMPRODUCT( V118:V121,$M$118:$M$121)</f>
        <v>0</v>
      </c>
      <c r="W117" s="512">
        <f>+V117/$M$117</f>
        <v>0</v>
      </c>
      <c r="X117" s="284">
        <f>SUMPRODUCT( X118:X121,$M$118:$M$121)</f>
        <v>0</v>
      </c>
      <c r="Y117" s="512">
        <f>+X117/$M$117</f>
        <v>0</v>
      </c>
    </row>
    <row r="118" spans="1:25" ht="27.75" customHeight="1">
      <c r="B118" s="203" t="s">
        <v>159</v>
      </c>
      <c r="C118" s="204" t="s">
        <v>480</v>
      </c>
      <c r="D118" s="205">
        <v>21.52</v>
      </c>
      <c r="E118" s="353" t="s">
        <v>160</v>
      </c>
      <c r="F118" s="339">
        <f t="shared" si="22"/>
        <v>1.6762341250246136</v>
      </c>
      <c r="G118" s="383">
        <f>I528*M118*0.1</f>
        <v>36.072558370529684</v>
      </c>
      <c r="H118" s="319">
        <v>68.75</v>
      </c>
      <c r="I118" s="206">
        <f>$D118*$H118</f>
        <v>1479.5</v>
      </c>
      <c r="J118" s="39"/>
      <c r="K118" s="207">
        <f>+I118/$I$117</f>
        <v>0.17888611154951006</v>
      </c>
      <c r="L118" s="208">
        <f>+K118</f>
        <v>0.17888611154951006</v>
      </c>
      <c r="M118" s="209">
        <f t="shared" si="35"/>
        <v>1.4750010466500752E-3</v>
      </c>
      <c r="N118" s="210">
        <f>+M118</f>
        <v>1.4750010466500752E-3</v>
      </c>
      <c r="O118" s="39"/>
      <c r="P118" s="264">
        <v>0</v>
      </c>
      <c r="Q118" s="510"/>
      <c r="R118" s="264">
        <v>0</v>
      </c>
      <c r="S118" s="510"/>
      <c r="T118" s="264">
        <v>0</v>
      </c>
      <c r="U118" s="521"/>
      <c r="V118" s="264">
        <v>0</v>
      </c>
      <c r="W118" s="510"/>
      <c r="X118" s="264">
        <v>0</v>
      </c>
      <c r="Y118" s="510"/>
    </row>
    <row r="119" spans="1:25" ht="78.75" customHeight="1">
      <c r="B119" s="86" t="s">
        <v>161</v>
      </c>
      <c r="C119" s="96" t="s">
        <v>486</v>
      </c>
      <c r="D119" s="97">
        <v>124.69</v>
      </c>
      <c r="E119" s="350" t="s">
        <v>162</v>
      </c>
      <c r="F119" s="339">
        <f t="shared" si="22"/>
        <v>1.130574201852965</v>
      </c>
      <c r="G119" s="372">
        <f>I528*M119*0.1</f>
        <v>140.9712972290462</v>
      </c>
      <c r="H119" s="308">
        <v>46.37</v>
      </c>
      <c r="I119" s="114">
        <f>$D119*$H119</f>
        <v>5781.8752999999997</v>
      </c>
      <c r="J119" s="39"/>
      <c r="K119" s="187">
        <f>+I119/$I$117</f>
        <v>0.69908563020017356</v>
      </c>
      <c r="L119" s="188">
        <f>+L118+K119</f>
        <v>0.87797174174968362</v>
      </c>
      <c r="M119" s="189">
        <f t="shared" si="35"/>
        <v>5.7642934228457031E-3</v>
      </c>
      <c r="N119" s="190">
        <f>+N118+M119</f>
        <v>7.2392944694957785E-3</v>
      </c>
      <c r="O119" s="39"/>
      <c r="P119" s="262">
        <v>0</v>
      </c>
      <c r="Q119" s="510"/>
      <c r="R119" s="264">
        <v>0</v>
      </c>
      <c r="S119" s="510"/>
      <c r="T119" s="264">
        <v>0</v>
      </c>
      <c r="U119" s="521"/>
      <c r="V119" s="264">
        <v>0</v>
      </c>
      <c r="W119" s="510"/>
      <c r="X119" s="264">
        <v>0</v>
      </c>
      <c r="Y119" s="510"/>
    </row>
    <row r="120" spans="1:25" ht="12.75" customHeight="1">
      <c r="B120" s="86" t="s">
        <v>163</v>
      </c>
      <c r="C120" s="96" t="s">
        <v>164</v>
      </c>
      <c r="D120" s="97">
        <v>5</v>
      </c>
      <c r="E120" s="350" t="s">
        <v>165</v>
      </c>
      <c r="F120" s="339">
        <f t="shared" si="22"/>
        <v>5.5789947998273757</v>
      </c>
      <c r="G120" s="372">
        <f>I528*M120*0.2</f>
        <v>27.89497399913688</v>
      </c>
      <c r="H120" s="308">
        <v>114.41</v>
      </c>
      <c r="I120" s="114">
        <f>$D120*$H120</f>
        <v>572.04999999999995</v>
      </c>
      <c r="J120" s="39"/>
      <c r="K120" s="194">
        <f>+I120/$I$117</f>
        <v>6.9166475236158986E-2</v>
      </c>
      <c r="L120" s="195">
        <f>+L119+K120</f>
        <v>0.94713821698584266</v>
      </c>
      <c r="M120" s="196">
        <f t="shared" ref="M120:M125" si="36">+I120/$I$514</f>
        <v>5.7031047565811119E-4</v>
      </c>
      <c r="N120" s="197">
        <f>+N119+M120</f>
        <v>7.8096049451538896E-3</v>
      </c>
      <c r="O120" s="39"/>
      <c r="P120" s="265">
        <v>0</v>
      </c>
      <c r="Q120" s="510"/>
      <c r="R120" s="264">
        <v>0</v>
      </c>
      <c r="S120" s="510"/>
      <c r="T120" s="264">
        <v>0</v>
      </c>
      <c r="U120" s="521"/>
      <c r="V120" s="264">
        <v>0</v>
      </c>
      <c r="W120" s="510"/>
      <c r="X120" s="264">
        <v>0</v>
      </c>
      <c r="Y120" s="510"/>
    </row>
    <row r="121" spans="1:25" ht="13.5" customHeight="1" thickBot="1">
      <c r="B121" s="215" t="s">
        <v>166</v>
      </c>
      <c r="C121" s="216" t="s">
        <v>167</v>
      </c>
      <c r="D121" s="148">
        <v>5</v>
      </c>
      <c r="E121" s="360" t="s">
        <v>168</v>
      </c>
      <c r="F121" s="344">
        <f t="shared" si="22"/>
        <v>4.2638519823171555</v>
      </c>
      <c r="G121" s="379">
        <f>I528*M121*0.2</f>
        <v>21.319259911585778</v>
      </c>
      <c r="H121" s="314">
        <v>87.44</v>
      </c>
      <c r="I121" s="149">
        <f>$D121*$H121</f>
        <v>437.2</v>
      </c>
      <c r="J121" s="39"/>
      <c r="K121" s="217">
        <f>+I121/$I$117</f>
        <v>5.2861783014157344E-2</v>
      </c>
      <c r="L121" s="116">
        <f>+L120+K121</f>
        <v>1</v>
      </c>
      <c r="M121" s="117">
        <f t="shared" si="36"/>
        <v>4.3587053571842707E-4</v>
      </c>
      <c r="N121" s="140">
        <f>+N120+M121</f>
        <v>8.2454754808723163E-3</v>
      </c>
      <c r="O121" s="39"/>
      <c r="P121" s="285">
        <v>0</v>
      </c>
      <c r="Q121" s="513"/>
      <c r="R121" s="257">
        <v>0</v>
      </c>
      <c r="S121" s="510"/>
      <c r="T121" s="257">
        <v>0</v>
      </c>
      <c r="U121" s="521"/>
      <c r="V121" s="257">
        <v>0</v>
      </c>
      <c r="W121" s="510"/>
      <c r="X121" s="257">
        <v>0</v>
      </c>
      <c r="Y121" s="510"/>
    </row>
    <row r="122" spans="1:25" s="6" customFormat="1" ht="12.75" customHeight="1">
      <c r="A122" s="291" t="s">
        <v>70</v>
      </c>
      <c r="B122" s="211" t="s">
        <v>169</v>
      </c>
      <c r="C122" s="212" t="s">
        <v>170</v>
      </c>
      <c r="D122" s="213"/>
      <c r="E122" s="364"/>
      <c r="F122" s="395">
        <f>+G122/D$3</f>
        <v>15.612451959774507</v>
      </c>
      <c r="G122" s="384">
        <f>+G123+G128</f>
        <v>14376.101889079962</v>
      </c>
      <c r="H122" s="320"/>
      <c r="I122" s="214">
        <f>+I123+I128</f>
        <v>78650.393400000001</v>
      </c>
      <c r="J122" s="38"/>
      <c r="K122" s="554" t="str">
        <f>+C122</f>
        <v>Pintura</v>
      </c>
      <c r="L122" s="555"/>
      <c r="M122" s="192">
        <f t="shared" si="36"/>
        <v>7.8411228512632769E-2</v>
      </c>
      <c r="N122" s="193"/>
      <c r="O122" s="38"/>
      <c r="P122" s="268">
        <f>+P123+P128</f>
        <v>0</v>
      </c>
      <c r="Q122" s="298">
        <f>+P122/$M$122</f>
        <v>0</v>
      </c>
      <c r="R122" s="297">
        <f>+R123+R128</f>
        <v>0</v>
      </c>
      <c r="S122" s="299">
        <f>+R122/$M$122</f>
        <v>0</v>
      </c>
      <c r="T122" s="297">
        <f>+T123+T128</f>
        <v>0</v>
      </c>
      <c r="U122" s="300">
        <f>+T122/$M$122</f>
        <v>0</v>
      </c>
      <c r="V122" s="297">
        <f>+V123+V128</f>
        <v>0</v>
      </c>
      <c r="W122" s="299">
        <f>+V122/$M$122</f>
        <v>0</v>
      </c>
      <c r="X122" s="297">
        <f>+X123+X128</f>
        <v>0</v>
      </c>
      <c r="Y122" s="299">
        <f>+X122/$M$122</f>
        <v>0</v>
      </c>
    </row>
    <row r="123" spans="1:25" s="6" customFormat="1" ht="12.75" customHeight="1">
      <c r="A123" s="291" t="s">
        <v>70</v>
      </c>
      <c r="B123" s="175"/>
      <c r="C123" s="176" t="s">
        <v>489</v>
      </c>
      <c r="D123" s="177"/>
      <c r="E123" s="365"/>
      <c r="F123" s="394">
        <f>+G123/D$3</f>
        <v>10.459827898847195</v>
      </c>
      <c r="G123" s="385">
        <f>SUM(G124:G127)</f>
        <v>9631.5141275374845</v>
      </c>
      <c r="H123" s="321"/>
      <c r="I123" s="178">
        <f>SUM(I124:I127)</f>
        <v>39730.960400000004</v>
      </c>
      <c r="J123" s="38"/>
      <c r="K123" s="552" t="str">
        <f>+C123</f>
        <v>Pinntura Interna e Externa  Latex acril e grafiato</v>
      </c>
      <c r="L123" s="553"/>
      <c r="M123" s="170">
        <f t="shared" si="36"/>
        <v>3.9610144085442854E-2</v>
      </c>
      <c r="N123" s="171"/>
      <c r="O123" s="39"/>
      <c r="P123" s="272">
        <f>SUMPRODUCT( P124:P127,$M$124:$M$127)</f>
        <v>0</v>
      </c>
      <c r="Q123" s="510">
        <f>+P123/$M$123</f>
        <v>0</v>
      </c>
      <c r="R123" s="268">
        <f>SUMPRODUCT( R124:R127,$M$124:$M$127)</f>
        <v>0</v>
      </c>
      <c r="S123" s="510">
        <f>+R123/$M$123</f>
        <v>0</v>
      </c>
      <c r="T123" s="267">
        <f>SUMPRODUCT( T124:T127,$M$124:$M$127)</f>
        <v>0</v>
      </c>
      <c r="U123" s="521">
        <f>+T123/$M$123</f>
        <v>0</v>
      </c>
      <c r="V123" s="268">
        <f>SUMPRODUCT( V124:V127,$M$124:$M$127)</f>
        <v>0</v>
      </c>
      <c r="W123" s="510">
        <f>+V123/$M$123</f>
        <v>0</v>
      </c>
      <c r="X123" s="268">
        <f>SUMPRODUCT( X124:X127,$M$124:$M$127)</f>
        <v>0</v>
      </c>
      <c r="Y123" s="510">
        <f>+X123/$M$123</f>
        <v>0</v>
      </c>
    </row>
    <row r="124" spans="1:25" ht="38.25" customHeight="1">
      <c r="B124" s="86" t="s">
        <v>171</v>
      </c>
      <c r="C124" s="96" t="s">
        <v>487</v>
      </c>
      <c r="D124" s="97">
        <v>2419.06</v>
      </c>
      <c r="E124" s="350" t="s">
        <v>172</v>
      </c>
      <c r="F124" s="346">
        <f t="shared" si="22"/>
        <v>1.182019350999175</v>
      </c>
      <c r="G124" s="372">
        <f>I528*M124*0.8</f>
        <v>2859.3757312280641</v>
      </c>
      <c r="H124" s="308">
        <v>6.06</v>
      </c>
      <c r="I124" s="114">
        <f>$D124*$H124</f>
        <v>14659.503599999998</v>
      </c>
      <c r="J124" s="39"/>
      <c r="K124" s="23">
        <f>+I124/$I$123</f>
        <v>0.36896927364484239</v>
      </c>
      <c r="L124" s="25">
        <f>+K124</f>
        <v>0.36896927364484239</v>
      </c>
      <c r="M124" s="26">
        <f t="shared" si="36"/>
        <v>1.4614926092173399E-2</v>
      </c>
      <c r="N124" s="74">
        <f>+M124</f>
        <v>1.4614926092173399E-2</v>
      </c>
      <c r="O124" s="39"/>
      <c r="P124" s="257">
        <v>0</v>
      </c>
      <c r="Q124" s="510"/>
      <c r="R124" s="257">
        <v>0</v>
      </c>
      <c r="S124" s="510"/>
      <c r="T124" s="257">
        <v>0</v>
      </c>
      <c r="U124" s="521"/>
      <c r="V124" s="257">
        <v>0</v>
      </c>
      <c r="W124" s="510"/>
      <c r="X124" s="257">
        <v>0</v>
      </c>
      <c r="Y124" s="510"/>
    </row>
    <row r="125" spans="1:25" ht="12.75" customHeight="1">
      <c r="B125" s="86" t="s">
        <v>173</v>
      </c>
      <c r="C125" s="96" t="s">
        <v>488</v>
      </c>
      <c r="D125" s="97">
        <v>1002.29</v>
      </c>
      <c r="E125" s="350" t="s">
        <v>174</v>
      </c>
      <c r="F125" s="339">
        <f t="shared" si="22"/>
        <v>1.921269077119121</v>
      </c>
      <c r="G125" s="372">
        <f>I528*M125</f>
        <v>1925.6687833057238</v>
      </c>
      <c r="H125" s="308">
        <v>7.88</v>
      </c>
      <c r="I125" s="114">
        <f>$D125*$H125</f>
        <v>7898.0451999999996</v>
      </c>
      <c r="J125" s="39"/>
      <c r="K125" s="62">
        <f>+I125/$I$123</f>
        <v>0.19878817729258816</v>
      </c>
      <c r="L125" s="63">
        <f>+L124+K125</f>
        <v>0.56775745093743057</v>
      </c>
      <c r="M125" s="64">
        <f t="shared" si="36"/>
        <v>7.8740283450419758E-3</v>
      </c>
      <c r="N125" s="75">
        <f>+N124+M125</f>
        <v>2.2488954437215374E-2</v>
      </c>
      <c r="O125" s="39"/>
      <c r="P125" s="258">
        <v>0</v>
      </c>
      <c r="Q125" s="510"/>
      <c r="R125" s="257">
        <v>0</v>
      </c>
      <c r="S125" s="510"/>
      <c r="T125" s="257">
        <v>0</v>
      </c>
      <c r="U125" s="521"/>
      <c r="V125" s="257">
        <v>0</v>
      </c>
      <c r="W125" s="510"/>
      <c r="X125" s="257">
        <v>0</v>
      </c>
      <c r="Y125" s="510"/>
    </row>
    <row r="126" spans="1:25" ht="13.5" customHeight="1">
      <c r="B126" s="86" t="s">
        <v>175</v>
      </c>
      <c r="C126" s="96" t="s">
        <v>73</v>
      </c>
      <c r="D126" s="97">
        <v>1416.77</v>
      </c>
      <c r="E126" s="350" t="s">
        <v>176</v>
      </c>
      <c r="F126" s="339">
        <f t="shared" si="22"/>
        <v>1.921269077119121</v>
      </c>
      <c r="G126" s="372">
        <f>I528*M126</f>
        <v>2721.9963903900571</v>
      </c>
      <c r="H126" s="308">
        <v>7.88</v>
      </c>
      <c r="I126" s="114">
        <f>$D126*$H126</f>
        <v>11164.1476</v>
      </c>
      <c r="J126" s="39"/>
      <c r="K126" s="23">
        <f>+I126/$I$123</f>
        <v>0.28099365048321356</v>
      </c>
      <c r="L126" s="25">
        <f>+K126</f>
        <v>0.28099365048321356</v>
      </c>
      <c r="M126" s="26">
        <f>+I126/$I$514</f>
        <v>1.1130198982734658E-2</v>
      </c>
      <c r="N126" s="74">
        <f>+M126</f>
        <v>1.1130198982734658E-2</v>
      </c>
      <c r="O126" s="39"/>
      <c r="P126" s="257">
        <v>0</v>
      </c>
      <c r="Q126" s="510"/>
      <c r="R126" s="257">
        <v>0</v>
      </c>
      <c r="S126" s="510"/>
      <c r="T126" s="257">
        <v>0</v>
      </c>
      <c r="U126" s="521"/>
      <c r="V126" s="257">
        <v>0</v>
      </c>
      <c r="W126" s="510"/>
      <c r="X126" s="257">
        <v>0</v>
      </c>
      <c r="Y126" s="510"/>
    </row>
    <row r="127" spans="1:25" ht="15.75" customHeight="1">
      <c r="B127" s="86" t="s">
        <v>177</v>
      </c>
      <c r="C127" s="96" t="s">
        <v>71</v>
      </c>
      <c r="D127" s="97">
        <v>690.72</v>
      </c>
      <c r="E127" s="350" t="s">
        <v>178</v>
      </c>
      <c r="F127" s="345">
        <f t="shared" si="22"/>
        <v>3.0757372344997091</v>
      </c>
      <c r="G127" s="372">
        <f>I528*M127*1.45</f>
        <v>2124.4732226136393</v>
      </c>
      <c r="H127" s="308">
        <v>8.6999999999999993</v>
      </c>
      <c r="I127" s="114">
        <f>$D127*$H127</f>
        <v>6009.2640000000001</v>
      </c>
      <c r="J127" s="39"/>
      <c r="K127" s="62">
        <f>+I127/$I$123</f>
        <v>0.15124889857935575</v>
      </c>
      <c r="L127" s="63">
        <f>+L126+K127</f>
        <v>0.43224254906256931</v>
      </c>
      <c r="M127" s="64">
        <f>+I127/$I$514</f>
        <v>5.9909906654928135E-3</v>
      </c>
      <c r="N127" s="75">
        <f>+N126+M127</f>
        <v>1.7121189648227474E-2</v>
      </c>
      <c r="O127" s="39"/>
      <c r="P127" s="258">
        <v>0</v>
      </c>
      <c r="Q127" s="511"/>
      <c r="R127" s="257">
        <v>0</v>
      </c>
      <c r="S127" s="510"/>
      <c r="T127" s="257">
        <v>0</v>
      </c>
      <c r="U127" s="521"/>
      <c r="V127" s="257">
        <v>0</v>
      </c>
      <c r="W127" s="510"/>
      <c r="X127" s="257">
        <v>0</v>
      </c>
      <c r="Y127" s="510"/>
    </row>
    <row r="128" spans="1:25" ht="12.75" customHeight="1">
      <c r="A128" s="291" t="s">
        <v>70</v>
      </c>
      <c r="B128" s="179"/>
      <c r="C128" s="159" t="s">
        <v>75</v>
      </c>
      <c r="D128" s="180"/>
      <c r="E128" s="366"/>
      <c r="F128" s="394">
        <f>+G128/D$3</f>
        <v>5.1526240609273124</v>
      </c>
      <c r="G128" s="377">
        <f>SUM(G129:G139)</f>
        <v>4744.5877615424779</v>
      </c>
      <c r="H128" s="322"/>
      <c r="I128" s="161">
        <f>SUM(I129:I139)</f>
        <v>38919.43299999999</v>
      </c>
      <c r="J128" s="39"/>
      <c r="K128" s="552" t="str">
        <f>+C128</f>
        <v>Outras Pinturas</v>
      </c>
      <c r="L128" s="553"/>
      <c r="M128" s="170">
        <f>+I128/$I$514</f>
        <v>3.8801084427189908E-2</v>
      </c>
      <c r="N128" s="171"/>
      <c r="O128" s="38"/>
      <c r="P128" s="261">
        <f>SUMPRODUCT( P129:P139,$M$129:$M$139)</f>
        <v>0</v>
      </c>
      <c r="Q128" s="510">
        <f>+P128/$M$128</f>
        <v>0</v>
      </c>
      <c r="R128" s="268">
        <f>SUMPRODUCT( R129:R139,$M$129:$M$139)</f>
        <v>0</v>
      </c>
      <c r="S128" s="510">
        <f>+R128/$M$128</f>
        <v>0</v>
      </c>
      <c r="T128" s="268">
        <f>SUMPRODUCT( T129:T139,$M$129:$M$139)</f>
        <v>0</v>
      </c>
      <c r="U128" s="521">
        <f>+T128/$M$128</f>
        <v>0</v>
      </c>
      <c r="V128" s="268">
        <f>SUMPRODUCT( V129:V139,$M$129:$M$139)</f>
        <v>0</v>
      </c>
      <c r="W128" s="510">
        <f>+V128/$M$128</f>
        <v>0</v>
      </c>
      <c r="X128" s="268">
        <f>SUMPRODUCT( X129:X139,$M$129:$M$139)</f>
        <v>0</v>
      </c>
      <c r="Y128" s="510">
        <f>+X128/$M$128</f>
        <v>0</v>
      </c>
    </row>
    <row r="129" spans="1:25" ht="12" customHeight="1">
      <c r="B129" s="86" t="s">
        <v>179</v>
      </c>
      <c r="C129" s="96" t="s">
        <v>180</v>
      </c>
      <c r="D129" s="97">
        <v>16.2</v>
      </c>
      <c r="E129" s="350" t="s">
        <v>181</v>
      </c>
      <c r="F129" s="339">
        <f t="shared" si="22"/>
        <v>2.1821520609411333</v>
      </c>
      <c r="G129" s="372">
        <f>I528*M129*0.5</f>
        <v>35.350863387246356</v>
      </c>
      <c r="H129" s="308">
        <v>17.899999999999999</v>
      </c>
      <c r="I129" s="114">
        <f t="shared" ref="I129:I139" si="37">$D129*$H129</f>
        <v>289.97999999999996</v>
      </c>
      <c r="J129" s="39"/>
      <c r="K129" s="187">
        <f>+I129/$I$128</f>
        <v>7.4507765824851566E-3</v>
      </c>
      <c r="L129" s="188">
        <f>+K129</f>
        <v>7.4507765824851566E-3</v>
      </c>
      <c r="M129" s="189">
        <f>+I129/$I$514</f>
        <v>2.8909821122513602E-4</v>
      </c>
      <c r="N129" s="190">
        <f>+M129</f>
        <v>2.8909821122513602E-4</v>
      </c>
      <c r="O129" s="39"/>
      <c r="P129" s="262">
        <v>0</v>
      </c>
      <c r="Q129" s="510"/>
      <c r="R129" s="257">
        <v>0</v>
      </c>
      <c r="S129" s="510"/>
      <c r="T129" s="257">
        <v>0</v>
      </c>
      <c r="U129" s="521"/>
      <c r="V129" s="257">
        <v>0</v>
      </c>
      <c r="W129" s="510"/>
      <c r="X129" s="257">
        <v>0</v>
      </c>
      <c r="Y129" s="510"/>
    </row>
    <row r="130" spans="1:25" ht="12" customHeight="1">
      <c r="B130" s="86" t="s">
        <v>182</v>
      </c>
      <c r="C130" s="96" t="s">
        <v>183</v>
      </c>
      <c r="D130" s="97">
        <v>453.54</v>
      </c>
      <c r="E130" s="350" t="s">
        <v>184</v>
      </c>
      <c r="F130" s="339">
        <f t="shared" si="22"/>
        <v>2.1821520609411333</v>
      </c>
      <c r="G130" s="372">
        <f>I528*M130*0.5</f>
        <v>989.69324571924165</v>
      </c>
      <c r="H130" s="308">
        <v>17.899999999999999</v>
      </c>
      <c r="I130" s="114">
        <f t="shared" si="37"/>
        <v>8118.366</v>
      </c>
      <c r="J130" s="39"/>
      <c r="K130" s="187">
        <f>+I130/$I$128</f>
        <v>0.20859414884076041</v>
      </c>
      <c r="L130" s="188">
        <f>+L129+K130</f>
        <v>0.21604492542324558</v>
      </c>
      <c r="M130" s="189">
        <f>+I130/$I$514</f>
        <v>8.0936791801881607E-3</v>
      </c>
      <c r="N130" s="190">
        <f>+N129+M130</f>
        <v>8.3827773914132968E-3</v>
      </c>
      <c r="O130" s="39"/>
      <c r="P130" s="262">
        <v>0</v>
      </c>
      <c r="Q130" s="510"/>
      <c r="R130" s="257">
        <v>0</v>
      </c>
      <c r="S130" s="510"/>
      <c r="T130" s="257">
        <v>0</v>
      </c>
      <c r="U130" s="521"/>
      <c r="V130" s="257">
        <v>0</v>
      </c>
      <c r="W130" s="510"/>
      <c r="X130" s="257">
        <v>0</v>
      </c>
      <c r="Y130" s="510"/>
    </row>
    <row r="131" spans="1:25" ht="12" customHeight="1">
      <c r="B131" s="86" t="s">
        <v>185</v>
      </c>
      <c r="C131" s="96" t="s">
        <v>186</v>
      </c>
      <c r="D131" s="97">
        <v>1318.22</v>
      </c>
      <c r="E131" s="350" t="s">
        <v>187</v>
      </c>
      <c r="F131" s="339">
        <f t="shared" si="22"/>
        <v>2.1821520609411333</v>
      </c>
      <c r="G131" s="372">
        <f>I528*M131*0.5</f>
        <v>2876.5564897738209</v>
      </c>
      <c r="H131" s="308">
        <v>17.899999999999999</v>
      </c>
      <c r="I131" s="114">
        <f t="shared" si="37"/>
        <v>23596.137999999999</v>
      </c>
      <c r="J131" s="39"/>
      <c r="K131" s="187">
        <f t="shared" ref="K131:K139" si="38">+I131/$I$128</f>
        <v>0.60628164855330768</v>
      </c>
      <c r="L131" s="188">
        <f t="shared" ref="L131:L139" si="39">+L130+K131</f>
        <v>0.82232657397655329</v>
      </c>
      <c r="M131" s="189">
        <f t="shared" ref="M131:M142" si="40">+I131/$I$514</f>
        <v>2.3524385432172768E-2</v>
      </c>
      <c r="N131" s="190">
        <f t="shared" ref="N131:N139" si="41">+N130+M131</f>
        <v>3.1907162823586063E-2</v>
      </c>
      <c r="O131" s="39"/>
      <c r="P131" s="262">
        <v>0</v>
      </c>
      <c r="Q131" s="510"/>
      <c r="R131" s="257">
        <v>0</v>
      </c>
      <c r="S131" s="510"/>
      <c r="T131" s="257">
        <v>0</v>
      </c>
      <c r="U131" s="521"/>
      <c r="V131" s="257">
        <v>0</v>
      </c>
      <c r="W131" s="510"/>
      <c r="X131" s="257">
        <v>0</v>
      </c>
      <c r="Y131" s="510"/>
    </row>
    <row r="132" spans="1:25" ht="12" customHeight="1">
      <c r="B132" s="86" t="s">
        <v>188</v>
      </c>
      <c r="C132" s="96" t="s">
        <v>189</v>
      </c>
      <c r="D132" s="97">
        <v>29.07</v>
      </c>
      <c r="E132" s="350" t="s">
        <v>190</v>
      </c>
      <c r="F132" s="339">
        <f t="shared" si="22"/>
        <v>2.1821520609411333</v>
      </c>
      <c r="G132" s="372">
        <f>I528*M132*0.5</f>
        <v>63.435160411558748</v>
      </c>
      <c r="H132" s="308">
        <v>17.899999999999999</v>
      </c>
      <c r="I132" s="114">
        <f t="shared" si="37"/>
        <v>520.35299999999995</v>
      </c>
      <c r="J132" s="39"/>
      <c r="K132" s="187">
        <f t="shared" si="38"/>
        <v>1.3370004645237254E-2</v>
      </c>
      <c r="L132" s="188">
        <f t="shared" si="39"/>
        <v>0.83569657862179059</v>
      </c>
      <c r="M132" s="189">
        <f t="shared" si="40"/>
        <v>5.1877067903177189E-4</v>
      </c>
      <c r="N132" s="190">
        <f t="shared" si="41"/>
        <v>3.2425933502617833E-2</v>
      </c>
      <c r="O132" s="39"/>
      <c r="P132" s="262">
        <v>0</v>
      </c>
      <c r="Q132" s="510"/>
      <c r="R132" s="257">
        <v>0</v>
      </c>
      <c r="S132" s="510"/>
      <c r="T132" s="257">
        <v>0</v>
      </c>
      <c r="U132" s="521"/>
      <c r="V132" s="257">
        <v>0</v>
      </c>
      <c r="W132" s="510"/>
      <c r="X132" s="257">
        <v>0</v>
      </c>
      <c r="Y132" s="510"/>
    </row>
    <row r="133" spans="1:25" ht="12" customHeight="1">
      <c r="B133" s="86" t="s">
        <v>191</v>
      </c>
      <c r="C133" s="96" t="s">
        <v>192</v>
      </c>
      <c r="D133" s="97">
        <v>106.2</v>
      </c>
      <c r="E133" s="350" t="s">
        <v>193</v>
      </c>
      <c r="F133" s="339">
        <f t="shared" si="22"/>
        <v>2.1821520609411333</v>
      </c>
      <c r="G133" s="372">
        <f>I528*M133*0.5</f>
        <v>231.74454887194835</v>
      </c>
      <c r="H133" s="308">
        <v>17.899999999999999</v>
      </c>
      <c r="I133" s="114">
        <f t="shared" si="37"/>
        <v>1900.9799999999998</v>
      </c>
      <c r="J133" s="39"/>
      <c r="K133" s="187">
        <f t="shared" si="38"/>
        <v>4.8843979818513808E-2</v>
      </c>
      <c r="L133" s="188">
        <f t="shared" si="39"/>
        <v>0.88454055844030444</v>
      </c>
      <c r="M133" s="189">
        <f t="shared" si="40"/>
        <v>1.895199384698114E-3</v>
      </c>
      <c r="N133" s="190">
        <f t="shared" si="41"/>
        <v>3.4321132887315947E-2</v>
      </c>
      <c r="O133" s="39"/>
      <c r="P133" s="262">
        <v>0</v>
      </c>
      <c r="Q133" s="510"/>
      <c r="R133" s="257">
        <v>0</v>
      </c>
      <c r="S133" s="510"/>
      <c r="T133" s="257">
        <v>0</v>
      </c>
      <c r="U133" s="521"/>
      <c r="V133" s="257">
        <v>0</v>
      </c>
      <c r="W133" s="510"/>
      <c r="X133" s="257">
        <v>0</v>
      </c>
      <c r="Y133" s="510"/>
    </row>
    <row r="134" spans="1:25" ht="12" customHeight="1">
      <c r="B134" s="86" t="s">
        <v>194</v>
      </c>
      <c r="C134" s="96" t="s">
        <v>195</v>
      </c>
      <c r="D134" s="97">
        <v>64.8</v>
      </c>
      <c r="E134" s="350" t="s">
        <v>196</v>
      </c>
      <c r="F134" s="339">
        <f t="shared" si="22"/>
        <v>2.1821520609411333</v>
      </c>
      <c r="G134" s="372">
        <f>I528*M134*0.5</f>
        <v>141.40345354898542</v>
      </c>
      <c r="H134" s="308">
        <v>17.899999999999999</v>
      </c>
      <c r="I134" s="114">
        <f t="shared" si="37"/>
        <v>1159.9199999999998</v>
      </c>
      <c r="J134" s="39"/>
      <c r="K134" s="187">
        <f t="shared" si="38"/>
        <v>2.9803106329940626E-2</v>
      </c>
      <c r="L134" s="188">
        <f t="shared" si="39"/>
        <v>0.91434366477024509</v>
      </c>
      <c r="M134" s="189">
        <f t="shared" si="40"/>
        <v>1.1563928449005441E-3</v>
      </c>
      <c r="N134" s="190">
        <f t="shared" si="41"/>
        <v>3.5477525732216492E-2</v>
      </c>
      <c r="O134" s="39"/>
      <c r="P134" s="262">
        <v>0</v>
      </c>
      <c r="Q134" s="510"/>
      <c r="R134" s="257">
        <v>0</v>
      </c>
      <c r="S134" s="510"/>
      <c r="T134" s="257">
        <v>0</v>
      </c>
      <c r="U134" s="521"/>
      <c r="V134" s="257">
        <v>0</v>
      </c>
      <c r="W134" s="510"/>
      <c r="X134" s="257">
        <v>0</v>
      </c>
      <c r="Y134" s="510"/>
    </row>
    <row r="135" spans="1:25" ht="12" customHeight="1">
      <c r="B135" s="86" t="s">
        <v>197</v>
      </c>
      <c r="C135" s="96" t="s">
        <v>198</v>
      </c>
      <c r="D135" s="97">
        <v>106.5</v>
      </c>
      <c r="E135" s="350" t="s">
        <v>199</v>
      </c>
      <c r="F135" s="339">
        <f t="shared" ref="F135:F198" si="42">+G135/D135</f>
        <v>2.1821520609411333</v>
      </c>
      <c r="G135" s="372">
        <f>I528*M135*0.5</f>
        <v>232.39919449023071</v>
      </c>
      <c r="H135" s="308">
        <v>17.899999999999999</v>
      </c>
      <c r="I135" s="114">
        <f t="shared" si="37"/>
        <v>1906.35</v>
      </c>
      <c r="J135" s="39"/>
      <c r="K135" s="187">
        <f t="shared" si="38"/>
        <v>4.8981957162633906E-2</v>
      </c>
      <c r="L135" s="188">
        <f t="shared" si="39"/>
        <v>0.96332562193287896</v>
      </c>
      <c r="M135" s="189">
        <f t="shared" si="40"/>
        <v>1.9005530552763574E-3</v>
      </c>
      <c r="N135" s="190">
        <f t="shared" si="41"/>
        <v>3.7378078787492851E-2</v>
      </c>
      <c r="O135" s="39"/>
      <c r="P135" s="262">
        <v>0</v>
      </c>
      <c r="Q135" s="510"/>
      <c r="R135" s="257">
        <v>0</v>
      </c>
      <c r="S135" s="510"/>
      <c r="T135" s="257">
        <v>0</v>
      </c>
      <c r="U135" s="521"/>
      <c r="V135" s="257">
        <v>0</v>
      </c>
      <c r="W135" s="510"/>
      <c r="X135" s="257">
        <v>0</v>
      </c>
      <c r="Y135" s="510"/>
    </row>
    <row r="136" spans="1:25" ht="12" customHeight="1">
      <c r="B136" s="86" t="s">
        <v>200</v>
      </c>
      <c r="C136" s="96" t="s">
        <v>201</v>
      </c>
      <c r="D136" s="97">
        <v>38.520000000000003</v>
      </c>
      <c r="E136" s="350" t="s">
        <v>202</v>
      </c>
      <c r="F136" s="339">
        <f t="shared" si="42"/>
        <v>2.1821520609411333</v>
      </c>
      <c r="G136" s="372">
        <f>I528*M136*0.5</f>
        <v>84.056497387452467</v>
      </c>
      <c r="H136" s="308">
        <v>17.899999999999999</v>
      </c>
      <c r="I136" s="114">
        <f t="shared" si="37"/>
        <v>689.50800000000004</v>
      </c>
      <c r="J136" s="39"/>
      <c r="K136" s="187">
        <f t="shared" si="38"/>
        <v>1.7716290985020266E-2</v>
      </c>
      <c r="L136" s="188">
        <f t="shared" si="39"/>
        <v>0.98104191291789922</v>
      </c>
      <c r="M136" s="189">
        <f t="shared" si="40"/>
        <v>6.8741130224643466E-4</v>
      </c>
      <c r="N136" s="190">
        <f t="shared" si="41"/>
        <v>3.8065490089739286E-2</v>
      </c>
      <c r="O136" s="39"/>
      <c r="P136" s="262">
        <v>0</v>
      </c>
      <c r="Q136" s="510"/>
      <c r="R136" s="257">
        <v>0</v>
      </c>
      <c r="S136" s="510"/>
      <c r="T136" s="257">
        <v>0</v>
      </c>
      <c r="U136" s="521"/>
      <c r="V136" s="257">
        <v>0</v>
      </c>
      <c r="W136" s="510"/>
      <c r="X136" s="257">
        <v>0</v>
      </c>
      <c r="Y136" s="510"/>
    </row>
    <row r="137" spans="1:25" ht="12" customHeight="1">
      <c r="B137" s="86" t="s">
        <v>203</v>
      </c>
      <c r="C137" s="96" t="s">
        <v>204</v>
      </c>
      <c r="D137" s="97">
        <v>18</v>
      </c>
      <c r="E137" s="350" t="s">
        <v>205</v>
      </c>
      <c r="F137" s="339">
        <f t="shared" si="42"/>
        <v>2.1821520609411333</v>
      </c>
      <c r="G137" s="372">
        <f>I528*M137*0.5</f>
        <v>39.278737096940404</v>
      </c>
      <c r="H137" s="308">
        <v>17.899999999999999</v>
      </c>
      <c r="I137" s="114">
        <f t="shared" si="37"/>
        <v>322.2</v>
      </c>
      <c r="J137" s="39"/>
      <c r="K137" s="187">
        <f t="shared" si="38"/>
        <v>8.2786406472057303E-3</v>
      </c>
      <c r="L137" s="188">
        <f t="shared" si="39"/>
        <v>0.98932055356510495</v>
      </c>
      <c r="M137" s="189">
        <f t="shared" si="40"/>
        <v>3.2122023469459562E-4</v>
      </c>
      <c r="N137" s="190">
        <f t="shared" si="41"/>
        <v>3.838671032443388E-2</v>
      </c>
      <c r="O137" s="39"/>
      <c r="P137" s="262">
        <v>0</v>
      </c>
      <c r="Q137" s="510"/>
      <c r="R137" s="257">
        <v>0</v>
      </c>
      <c r="S137" s="510"/>
      <c r="T137" s="257">
        <v>0</v>
      </c>
      <c r="U137" s="521"/>
      <c r="V137" s="257">
        <v>0</v>
      </c>
      <c r="W137" s="510"/>
      <c r="X137" s="257">
        <v>0</v>
      </c>
      <c r="Y137" s="510"/>
    </row>
    <row r="138" spans="1:25" ht="12" customHeight="1">
      <c r="B138" s="86" t="s">
        <v>206</v>
      </c>
      <c r="C138" s="96" t="s">
        <v>207</v>
      </c>
      <c r="D138" s="97">
        <v>6.12</v>
      </c>
      <c r="E138" s="350" t="s">
        <v>208</v>
      </c>
      <c r="F138" s="339">
        <f t="shared" si="42"/>
        <v>2.1821520609411333</v>
      </c>
      <c r="G138" s="372">
        <f>I528*M138*0.5</f>
        <v>13.354770612959737</v>
      </c>
      <c r="H138" s="308">
        <v>17.899999999999999</v>
      </c>
      <c r="I138" s="114">
        <f t="shared" si="37"/>
        <v>109.54799999999999</v>
      </c>
      <c r="J138" s="39"/>
      <c r="K138" s="194">
        <f t="shared" si="38"/>
        <v>2.8147378200499484E-3</v>
      </c>
      <c r="L138" s="195">
        <f t="shared" si="39"/>
        <v>0.99213529138515488</v>
      </c>
      <c r="M138" s="196">
        <f t="shared" si="40"/>
        <v>1.0921487979616251E-4</v>
      </c>
      <c r="N138" s="197">
        <f t="shared" si="41"/>
        <v>3.8495925204230043E-2</v>
      </c>
      <c r="O138" s="39"/>
      <c r="P138" s="265">
        <v>0</v>
      </c>
      <c r="Q138" s="510"/>
      <c r="R138" s="257">
        <v>0</v>
      </c>
      <c r="S138" s="510"/>
      <c r="T138" s="257">
        <v>0</v>
      </c>
      <c r="U138" s="521"/>
      <c r="V138" s="257">
        <v>0</v>
      </c>
      <c r="W138" s="510"/>
      <c r="X138" s="257">
        <v>0</v>
      </c>
      <c r="Y138" s="510"/>
    </row>
    <row r="139" spans="1:25" ht="12" customHeight="1" thickBot="1">
      <c r="B139" s="215" t="s">
        <v>209</v>
      </c>
      <c r="C139" s="216" t="s">
        <v>210</v>
      </c>
      <c r="D139" s="148">
        <v>17.100000000000001</v>
      </c>
      <c r="E139" s="360" t="s">
        <v>211</v>
      </c>
      <c r="F139" s="344">
        <f t="shared" si="42"/>
        <v>2.1821520609411333</v>
      </c>
      <c r="G139" s="379">
        <f>I528*M139*0.5</f>
        <v>37.314800242093384</v>
      </c>
      <c r="H139" s="314">
        <v>17.899999999999999</v>
      </c>
      <c r="I139" s="149">
        <f t="shared" si="37"/>
        <v>306.08999999999997</v>
      </c>
      <c r="J139" s="39"/>
      <c r="K139" s="217">
        <f t="shared" si="38"/>
        <v>7.8647086148454434E-3</v>
      </c>
      <c r="L139" s="116">
        <f t="shared" si="39"/>
        <v>1.0000000000000002</v>
      </c>
      <c r="M139" s="117">
        <f t="shared" si="40"/>
        <v>3.0515922295986584E-4</v>
      </c>
      <c r="N139" s="140">
        <f t="shared" si="41"/>
        <v>3.8801084427189908E-2</v>
      </c>
      <c r="O139" s="39"/>
      <c r="P139" s="285">
        <v>0</v>
      </c>
      <c r="Q139" s="513"/>
      <c r="R139" s="269">
        <v>0</v>
      </c>
      <c r="S139" s="513"/>
      <c r="T139" s="269">
        <v>0</v>
      </c>
      <c r="U139" s="524"/>
      <c r="V139" s="269">
        <v>0</v>
      </c>
      <c r="W139" s="513"/>
      <c r="X139" s="269">
        <v>0</v>
      </c>
      <c r="Y139" s="513"/>
    </row>
    <row r="140" spans="1:25" s="6" customFormat="1" ht="12" customHeight="1">
      <c r="A140" s="291" t="s">
        <v>70</v>
      </c>
      <c r="B140" s="211" t="s">
        <v>212</v>
      </c>
      <c r="C140" s="212" t="s">
        <v>213</v>
      </c>
      <c r="D140" s="213"/>
      <c r="E140" s="364"/>
      <c r="F140" s="395">
        <f>+G140/D$3</f>
        <v>2.4148216975326156</v>
      </c>
      <c r="G140" s="384">
        <f>SUM(G141:G154)</f>
        <v>2223.5919673050075</v>
      </c>
      <c r="H140" s="320"/>
      <c r="I140" s="214">
        <f>SUM(I141:I154)</f>
        <v>43228.148099999991</v>
      </c>
      <c r="J140" s="38"/>
      <c r="K140" s="550" t="str">
        <f>+C140</f>
        <v>Diversos</v>
      </c>
      <c r="L140" s="551"/>
      <c r="M140" s="167">
        <f t="shared" si="40"/>
        <v>4.3096697324937108E-2</v>
      </c>
      <c r="N140" s="168"/>
      <c r="O140" s="38"/>
      <c r="P140" s="270">
        <f>SUMPRODUCT( P141:P154,$M$141:$M$154)</f>
        <v>0</v>
      </c>
      <c r="Q140" s="512">
        <f>+P140/$M$140</f>
        <v>0</v>
      </c>
      <c r="R140" s="270">
        <f>SUMPRODUCT( R141:R154,$M$141:$M$154)</f>
        <v>0</v>
      </c>
      <c r="S140" s="510">
        <f>+R140/$M$140</f>
        <v>0</v>
      </c>
      <c r="T140" s="270">
        <f>SUMPRODUCT( T141:T154,$M$141:$M$154)</f>
        <v>0</v>
      </c>
      <c r="U140" s="521">
        <f>+T140/$M$140</f>
        <v>0</v>
      </c>
      <c r="V140" s="270">
        <f>SUMPRODUCT( V141:V154,$M$141:$M$154)</f>
        <v>4.0298731799473693E-2</v>
      </c>
      <c r="W140" s="510">
        <f>+V140/$M$140</f>
        <v>0.93507703144007681</v>
      </c>
      <c r="X140" s="270">
        <f>SUMPRODUCT( X141:X154,$M$141:$M$154)</f>
        <v>4.0298731799473693E-2</v>
      </c>
      <c r="Y140" s="510">
        <f>+X140/$M$140</f>
        <v>0.93507703144007681</v>
      </c>
    </row>
    <row r="141" spans="1:25" ht="12" customHeight="1">
      <c r="B141" s="86" t="s">
        <v>214</v>
      </c>
      <c r="C141" s="96" t="s">
        <v>215</v>
      </c>
      <c r="D141" s="97">
        <v>429.07</v>
      </c>
      <c r="E141" s="350" t="s">
        <v>216</v>
      </c>
      <c r="F141" s="339">
        <f t="shared" si="42"/>
        <v>2.0558554388665522</v>
      </c>
      <c r="G141" s="372">
        <f>I528*M141*0.1</f>
        <v>882.10589315447146</v>
      </c>
      <c r="H141" s="308">
        <v>84.32</v>
      </c>
      <c r="I141" s="114">
        <f t="shared" ref="I141:I150" si="43">$D141*$H141</f>
        <v>36179.182399999998</v>
      </c>
      <c r="J141" s="39"/>
      <c r="K141" s="187">
        <f>+I141/$I$140</f>
        <v>0.83693574650263602</v>
      </c>
      <c r="L141" s="188">
        <f>+K141</f>
        <v>0.83693574650263602</v>
      </c>
      <c r="M141" s="189">
        <f t="shared" si="40"/>
        <v>3.6069166547444395E-2</v>
      </c>
      <c r="N141" s="190">
        <f>+M141</f>
        <v>3.6069166547444395E-2</v>
      </c>
      <c r="O141" s="39"/>
      <c r="P141" s="262">
        <v>0</v>
      </c>
      <c r="Q141" s="510"/>
      <c r="R141" s="262">
        <v>0</v>
      </c>
      <c r="S141" s="510"/>
      <c r="T141" s="262">
        <v>0</v>
      </c>
      <c r="U141" s="521"/>
      <c r="V141" s="262">
        <v>1</v>
      </c>
      <c r="W141" s="510"/>
      <c r="X141" s="262">
        <v>1</v>
      </c>
      <c r="Y141" s="510"/>
    </row>
    <row r="142" spans="1:25" ht="12" customHeight="1">
      <c r="B142" s="86" t="s">
        <v>217</v>
      </c>
      <c r="C142" s="96" t="s">
        <v>218</v>
      </c>
      <c r="D142" s="97">
        <v>2</v>
      </c>
      <c r="E142" s="350" t="s">
        <v>219</v>
      </c>
      <c r="F142" s="339">
        <f t="shared" si="42"/>
        <v>83.81414440995799</v>
      </c>
      <c r="G142" s="372">
        <f>I528*M142</f>
        <v>167.62828881991598</v>
      </c>
      <c r="H142" s="308">
        <v>343.76</v>
      </c>
      <c r="I142" s="114">
        <f t="shared" si="43"/>
        <v>687.52</v>
      </c>
      <c r="J142" s="39"/>
      <c r="K142" s="187">
        <f>+I142/$I$140</f>
        <v>1.5904451849511454E-2</v>
      </c>
      <c r="L142" s="188">
        <f>+L141+K142</f>
        <v>0.85284019835214753</v>
      </c>
      <c r="M142" s="189">
        <f t="shared" si="40"/>
        <v>6.8542934747743136E-4</v>
      </c>
      <c r="N142" s="190">
        <f>+N141+M142</f>
        <v>3.6754595894921825E-2</v>
      </c>
      <c r="O142" s="39"/>
      <c r="P142" s="262">
        <v>0</v>
      </c>
      <c r="Q142" s="510"/>
      <c r="R142" s="262">
        <v>0</v>
      </c>
      <c r="S142" s="510"/>
      <c r="T142" s="262">
        <v>0</v>
      </c>
      <c r="U142" s="521"/>
      <c r="V142" s="262">
        <v>1</v>
      </c>
      <c r="W142" s="510"/>
      <c r="X142" s="262">
        <v>1</v>
      </c>
      <c r="Y142" s="510"/>
    </row>
    <row r="143" spans="1:25" ht="12" customHeight="1">
      <c r="B143" s="86" t="s">
        <v>220</v>
      </c>
      <c r="C143" s="96" t="s">
        <v>221</v>
      </c>
      <c r="D143" s="97">
        <v>1</v>
      </c>
      <c r="E143" s="350" t="s">
        <v>222</v>
      </c>
      <c r="F143" s="339">
        <f t="shared" si="42"/>
        <v>41.907072204978995</v>
      </c>
      <c r="G143" s="372">
        <f>I528*M143</f>
        <v>41.907072204978995</v>
      </c>
      <c r="H143" s="308">
        <v>171.88</v>
      </c>
      <c r="I143" s="114">
        <f t="shared" si="43"/>
        <v>171.88</v>
      </c>
      <c r="J143" s="39"/>
      <c r="K143" s="187">
        <f t="shared" ref="K143:K154" si="44">+I143/$I$140</f>
        <v>3.9761129623778636E-3</v>
      </c>
      <c r="L143" s="188">
        <f t="shared" ref="L143:L154" si="45">+L142+K143</f>
        <v>0.8568163113145254</v>
      </c>
      <c r="M143" s="189">
        <f t="shared" ref="M143:M157" si="46">+I143/$I$514</f>
        <v>1.7135733686935784E-4</v>
      </c>
      <c r="N143" s="190">
        <f t="shared" ref="N143:N154" si="47">+N142+M143</f>
        <v>3.6925953231791181E-2</v>
      </c>
      <c r="O143" s="39"/>
      <c r="P143" s="262">
        <v>0</v>
      </c>
      <c r="Q143" s="510"/>
      <c r="R143" s="262">
        <v>0</v>
      </c>
      <c r="S143" s="510"/>
      <c r="T143" s="262">
        <v>0</v>
      </c>
      <c r="U143" s="521"/>
      <c r="V143" s="262">
        <v>1</v>
      </c>
      <c r="W143" s="510"/>
      <c r="X143" s="262">
        <v>1</v>
      </c>
      <c r="Y143" s="510"/>
    </row>
    <row r="144" spans="1:25" ht="12" customHeight="1">
      <c r="B144" s="86" t="s">
        <v>223</v>
      </c>
      <c r="C144" s="96" t="s">
        <v>463</v>
      </c>
      <c r="D144" s="97">
        <v>10</v>
      </c>
      <c r="E144" s="350" t="s">
        <v>224</v>
      </c>
      <c r="F144" s="339">
        <f t="shared" si="42"/>
        <v>4.8299924387981958</v>
      </c>
      <c r="G144" s="372">
        <f>I528*M144</f>
        <v>48.29992438798196</v>
      </c>
      <c r="H144" s="308">
        <v>19.809999999999999</v>
      </c>
      <c r="I144" s="114">
        <f t="shared" si="43"/>
        <v>198.1</v>
      </c>
      <c r="J144" s="39"/>
      <c r="K144" s="187">
        <f t="shared" si="44"/>
        <v>4.5826621936645032E-3</v>
      </c>
      <c r="L144" s="188">
        <f t="shared" si="45"/>
        <v>0.86139897350818995</v>
      </c>
      <c r="M144" s="189">
        <f t="shared" si="46"/>
        <v>1.9749760550279142E-4</v>
      </c>
      <c r="N144" s="190">
        <f t="shared" si="47"/>
        <v>3.7123450837293973E-2</v>
      </c>
      <c r="O144" s="39"/>
      <c r="P144" s="262">
        <v>0</v>
      </c>
      <c r="Q144" s="510"/>
      <c r="R144" s="262">
        <v>0</v>
      </c>
      <c r="S144" s="510"/>
      <c r="T144" s="262">
        <v>0</v>
      </c>
      <c r="U144" s="521"/>
      <c r="V144" s="262">
        <v>1</v>
      </c>
      <c r="W144" s="510"/>
      <c r="X144" s="262">
        <v>1</v>
      </c>
      <c r="Y144" s="510"/>
    </row>
    <row r="145" spans="1:25" ht="12" customHeight="1">
      <c r="B145" s="86" t="s">
        <v>225</v>
      </c>
      <c r="C145" s="96" t="s">
        <v>464</v>
      </c>
      <c r="D145" s="97">
        <v>4.5999999999999996</v>
      </c>
      <c r="E145" s="350" t="s">
        <v>226</v>
      </c>
      <c r="F145" s="339">
        <f t="shared" si="42"/>
        <v>4.8299924387981958</v>
      </c>
      <c r="G145" s="372">
        <f>I528*M145</f>
        <v>22.217965218471701</v>
      </c>
      <c r="H145" s="308">
        <v>19.809999999999999</v>
      </c>
      <c r="I145" s="114">
        <f t="shared" si="43"/>
        <v>91.125999999999991</v>
      </c>
      <c r="J145" s="39"/>
      <c r="K145" s="187">
        <f t="shared" si="44"/>
        <v>2.1080246090856712E-3</v>
      </c>
      <c r="L145" s="188">
        <f t="shared" si="45"/>
        <v>0.8635069981172756</v>
      </c>
      <c r="M145" s="189">
        <f t="shared" si="46"/>
        <v>9.084889853128404E-5</v>
      </c>
      <c r="N145" s="190">
        <f t="shared" si="47"/>
        <v>3.7214299735825254E-2</v>
      </c>
      <c r="O145" s="39"/>
      <c r="P145" s="262">
        <v>0</v>
      </c>
      <c r="Q145" s="510"/>
      <c r="R145" s="262">
        <v>0</v>
      </c>
      <c r="S145" s="510"/>
      <c r="T145" s="262">
        <v>0</v>
      </c>
      <c r="U145" s="521"/>
      <c r="V145" s="262">
        <v>1</v>
      </c>
      <c r="W145" s="510"/>
      <c r="X145" s="262">
        <v>1</v>
      </c>
      <c r="Y145" s="510"/>
    </row>
    <row r="146" spans="1:25" ht="12" customHeight="1">
      <c r="B146" s="86" t="s">
        <v>227</v>
      </c>
      <c r="C146" s="96" t="s">
        <v>228</v>
      </c>
      <c r="D146" s="97">
        <v>3</v>
      </c>
      <c r="E146" s="350" t="s">
        <v>229</v>
      </c>
      <c r="F146" s="339">
        <f t="shared" si="42"/>
        <v>125.72121661493701</v>
      </c>
      <c r="G146" s="372">
        <f>I528*M146*0.5</f>
        <v>377.163649844811</v>
      </c>
      <c r="H146" s="308">
        <v>1031.28</v>
      </c>
      <c r="I146" s="114">
        <f t="shared" si="43"/>
        <v>3093.84</v>
      </c>
      <c r="J146" s="39"/>
      <c r="K146" s="187">
        <f t="shared" si="44"/>
        <v>7.1570033322801554E-2</v>
      </c>
      <c r="L146" s="188">
        <f t="shared" si="45"/>
        <v>0.93507703144007714</v>
      </c>
      <c r="M146" s="189">
        <f t="shared" si="46"/>
        <v>3.0844320636484414E-3</v>
      </c>
      <c r="N146" s="190">
        <f t="shared" si="47"/>
        <v>4.0298731799473693E-2</v>
      </c>
      <c r="O146" s="39"/>
      <c r="P146" s="262">
        <v>0</v>
      </c>
      <c r="Q146" s="510"/>
      <c r="R146" s="262">
        <v>0</v>
      </c>
      <c r="S146" s="510"/>
      <c r="T146" s="262">
        <v>0</v>
      </c>
      <c r="U146" s="521"/>
      <c r="V146" s="262">
        <v>1</v>
      </c>
      <c r="W146" s="510"/>
      <c r="X146" s="262">
        <v>1</v>
      </c>
      <c r="Y146" s="510"/>
    </row>
    <row r="147" spans="1:25" ht="12" customHeight="1">
      <c r="B147" s="86" t="s">
        <v>230</v>
      </c>
      <c r="C147" s="96" t="s">
        <v>231</v>
      </c>
      <c r="D147" s="97">
        <v>1</v>
      </c>
      <c r="E147" s="350" t="s">
        <v>232</v>
      </c>
      <c r="F147" s="339">
        <f t="shared" si="42"/>
        <v>14.533864173486142</v>
      </c>
      <c r="G147" s="372">
        <f>I528*M147</f>
        <v>14.533864173486142</v>
      </c>
      <c r="H147" s="308">
        <v>59.61</v>
      </c>
      <c r="I147" s="114">
        <f t="shared" si="43"/>
        <v>59.61</v>
      </c>
      <c r="J147" s="39"/>
      <c r="K147" s="187">
        <f t="shared" si="44"/>
        <v>1.3789626116322113E-3</v>
      </c>
      <c r="L147" s="188">
        <f t="shared" si="45"/>
        <v>0.93645599405170932</v>
      </c>
      <c r="M147" s="189">
        <f t="shared" si="46"/>
        <v>5.9428734295918206E-5</v>
      </c>
      <c r="N147" s="190">
        <f t="shared" si="47"/>
        <v>4.0358160533769609E-2</v>
      </c>
      <c r="O147" s="39"/>
      <c r="P147" s="262">
        <v>0</v>
      </c>
      <c r="Q147" s="510"/>
      <c r="R147" s="262">
        <v>0</v>
      </c>
      <c r="S147" s="510"/>
      <c r="T147" s="262">
        <v>0</v>
      </c>
      <c r="U147" s="521"/>
      <c r="V147" s="262">
        <v>0</v>
      </c>
      <c r="W147" s="510"/>
      <c r="X147" s="262">
        <v>0</v>
      </c>
      <c r="Y147" s="510"/>
    </row>
    <row r="148" spans="1:25" ht="12" customHeight="1">
      <c r="B148" s="86" t="s">
        <v>233</v>
      </c>
      <c r="C148" s="96" t="s">
        <v>234</v>
      </c>
      <c r="D148" s="97">
        <v>1</v>
      </c>
      <c r="E148" s="350" t="s">
        <v>235</v>
      </c>
      <c r="F148" s="339">
        <f t="shared" si="42"/>
        <v>14.533864173486142</v>
      </c>
      <c r="G148" s="372">
        <f>I528*M148</f>
        <v>14.533864173486142</v>
      </c>
      <c r="H148" s="308">
        <v>59.61</v>
      </c>
      <c r="I148" s="114">
        <f t="shared" si="43"/>
        <v>59.61</v>
      </c>
      <c r="J148" s="39"/>
      <c r="K148" s="187">
        <f t="shared" si="44"/>
        <v>1.3789626116322113E-3</v>
      </c>
      <c r="L148" s="188">
        <f t="shared" si="45"/>
        <v>0.93783495666334149</v>
      </c>
      <c r="M148" s="189">
        <f t="shared" si="46"/>
        <v>5.9428734295918206E-5</v>
      </c>
      <c r="N148" s="190">
        <f t="shared" si="47"/>
        <v>4.0417589268065525E-2</v>
      </c>
      <c r="O148" s="39"/>
      <c r="P148" s="262">
        <v>0</v>
      </c>
      <c r="Q148" s="510"/>
      <c r="R148" s="262">
        <v>0</v>
      </c>
      <c r="S148" s="510"/>
      <c r="T148" s="262">
        <v>0</v>
      </c>
      <c r="U148" s="521"/>
      <c r="V148" s="262">
        <v>0</v>
      </c>
      <c r="W148" s="510"/>
      <c r="X148" s="262">
        <v>0</v>
      </c>
      <c r="Y148" s="510"/>
    </row>
    <row r="149" spans="1:25" ht="12" customHeight="1">
      <c r="B149" s="86" t="s">
        <v>236</v>
      </c>
      <c r="C149" s="96" t="s">
        <v>237</v>
      </c>
      <c r="D149" s="97">
        <v>1</v>
      </c>
      <c r="E149" s="350" t="s">
        <v>238</v>
      </c>
      <c r="F149" s="339">
        <f t="shared" si="42"/>
        <v>7.5948644355660679</v>
      </c>
      <c r="G149" s="372">
        <f>I528*M149</f>
        <v>7.5948644355660679</v>
      </c>
      <c r="H149" s="308">
        <v>31.15</v>
      </c>
      <c r="I149" s="114">
        <f t="shared" si="43"/>
        <v>31.15</v>
      </c>
      <c r="J149" s="39"/>
      <c r="K149" s="187">
        <f t="shared" si="44"/>
        <v>7.2059529193664454E-4</v>
      </c>
      <c r="L149" s="188">
        <f t="shared" si="45"/>
        <v>0.93855555195527818</v>
      </c>
      <c r="M149" s="189">
        <f t="shared" si="46"/>
        <v>3.1055277190368261E-5</v>
      </c>
      <c r="N149" s="190">
        <f t="shared" si="47"/>
        <v>4.0448644545255895E-2</v>
      </c>
      <c r="O149" s="39"/>
      <c r="P149" s="262">
        <v>0</v>
      </c>
      <c r="Q149" s="510"/>
      <c r="R149" s="262">
        <v>0</v>
      </c>
      <c r="S149" s="510"/>
      <c r="T149" s="262">
        <v>0</v>
      </c>
      <c r="U149" s="521"/>
      <c r="V149" s="262">
        <v>0</v>
      </c>
      <c r="W149" s="510"/>
      <c r="X149" s="262">
        <v>0</v>
      </c>
      <c r="Y149" s="510"/>
    </row>
    <row r="150" spans="1:25" ht="14.25" customHeight="1">
      <c r="B150" s="86" t="s">
        <v>239</v>
      </c>
      <c r="C150" s="96" t="s">
        <v>240</v>
      </c>
      <c r="D150" s="97">
        <v>7.77</v>
      </c>
      <c r="E150" s="350" t="s">
        <v>241</v>
      </c>
      <c r="F150" s="339">
        <f t="shared" si="42"/>
        <v>48.911902228536405</v>
      </c>
      <c r="G150" s="372">
        <f>I528*M150</f>
        <v>380.04548031572784</v>
      </c>
      <c r="H150" s="308">
        <v>200.61</v>
      </c>
      <c r="I150" s="114">
        <f t="shared" si="43"/>
        <v>1558.7397000000001</v>
      </c>
      <c r="J150" s="39"/>
      <c r="K150" s="187">
        <f t="shared" si="44"/>
        <v>3.6058442670136047E-2</v>
      </c>
      <c r="L150" s="188">
        <f t="shared" si="45"/>
        <v>0.9746139946254142</v>
      </c>
      <c r="M150" s="189">
        <f t="shared" si="46"/>
        <v>1.5539997897634501E-3</v>
      </c>
      <c r="N150" s="190">
        <f t="shared" si="47"/>
        <v>4.2002644335019344E-2</v>
      </c>
      <c r="O150" s="39"/>
      <c r="P150" s="262">
        <v>0</v>
      </c>
      <c r="Q150" s="510"/>
      <c r="R150" s="262">
        <v>0</v>
      </c>
      <c r="S150" s="510"/>
      <c r="T150" s="262">
        <v>0</v>
      </c>
      <c r="U150" s="521"/>
      <c r="V150" s="262">
        <v>0</v>
      </c>
      <c r="W150" s="510"/>
      <c r="X150" s="262">
        <v>0</v>
      </c>
      <c r="Y150" s="510"/>
    </row>
    <row r="151" spans="1:25" ht="15.75" customHeight="1">
      <c r="B151" s="153"/>
      <c r="C151" s="96" t="s">
        <v>242</v>
      </c>
      <c r="D151" s="97">
        <v>1</v>
      </c>
      <c r="E151" s="350" t="s">
        <v>664</v>
      </c>
      <c r="F151" s="339">
        <f t="shared" si="42"/>
        <v>0</v>
      </c>
      <c r="G151" s="372">
        <f>I528*M151</f>
        <v>0</v>
      </c>
      <c r="H151" s="308"/>
      <c r="I151" s="114"/>
      <c r="J151" s="39"/>
      <c r="K151" s="187">
        <f t="shared" si="44"/>
        <v>0</v>
      </c>
      <c r="L151" s="188">
        <f t="shared" si="45"/>
        <v>0.9746139946254142</v>
      </c>
      <c r="M151" s="189">
        <f t="shared" si="46"/>
        <v>0</v>
      </c>
      <c r="N151" s="190">
        <f t="shared" si="47"/>
        <v>4.2002644335019344E-2</v>
      </c>
      <c r="O151" s="39"/>
      <c r="P151" s="262">
        <v>0</v>
      </c>
      <c r="Q151" s="510"/>
      <c r="R151" s="262">
        <v>0</v>
      </c>
      <c r="S151" s="510"/>
      <c r="T151" s="262">
        <v>0</v>
      </c>
      <c r="U151" s="521"/>
      <c r="V151" s="262">
        <v>0</v>
      </c>
      <c r="W151" s="510"/>
      <c r="X151" s="262">
        <v>0</v>
      </c>
      <c r="Y151" s="510"/>
    </row>
    <row r="152" spans="1:25" ht="12.75" customHeight="1">
      <c r="B152" s="86" t="s">
        <v>243</v>
      </c>
      <c r="C152" s="96" t="s">
        <v>244</v>
      </c>
      <c r="D152" s="97">
        <v>9</v>
      </c>
      <c r="E152" s="350" t="s">
        <v>245</v>
      </c>
      <c r="F152" s="339">
        <f t="shared" si="42"/>
        <v>18.256932550086265</v>
      </c>
      <c r="G152" s="372">
        <f>I528*M152</f>
        <v>164.3123929507764</v>
      </c>
      <c r="H152" s="308">
        <v>74.88</v>
      </c>
      <c r="I152" s="114">
        <f>$D152*$H152</f>
        <v>673.92</v>
      </c>
      <c r="J152" s="39"/>
      <c r="K152" s="187">
        <f t="shared" si="44"/>
        <v>1.5589842027028683E-2</v>
      </c>
      <c r="L152" s="188">
        <f t="shared" si="45"/>
        <v>0.99020383665244294</v>
      </c>
      <c r="M152" s="189">
        <f t="shared" si="46"/>
        <v>6.7187070318243912E-4</v>
      </c>
      <c r="N152" s="190">
        <f t="shared" si="47"/>
        <v>4.2674515038201785E-2</v>
      </c>
      <c r="O152" s="39"/>
      <c r="P152" s="262">
        <v>0</v>
      </c>
      <c r="Q152" s="510"/>
      <c r="R152" s="262">
        <v>0</v>
      </c>
      <c r="S152" s="510"/>
      <c r="T152" s="262">
        <v>0</v>
      </c>
      <c r="U152" s="521"/>
      <c r="V152" s="262">
        <v>0</v>
      </c>
      <c r="W152" s="510"/>
      <c r="X152" s="262">
        <v>0</v>
      </c>
      <c r="Y152" s="510"/>
    </row>
    <row r="153" spans="1:25" ht="12.75" customHeight="1">
      <c r="B153" s="86" t="s">
        <v>246</v>
      </c>
      <c r="C153" s="96" t="s">
        <v>247</v>
      </c>
      <c r="D153" s="97">
        <v>1</v>
      </c>
      <c r="E153" s="350" t="s">
        <v>248</v>
      </c>
      <c r="F153" s="339">
        <f t="shared" si="42"/>
        <v>90.650741481331124</v>
      </c>
      <c r="G153" s="372">
        <f>I528*M153</f>
        <v>90.650741481331124</v>
      </c>
      <c r="H153" s="308">
        <v>371.8</v>
      </c>
      <c r="I153" s="114">
        <f>$D153*$H153</f>
        <v>371.8</v>
      </c>
      <c r="J153" s="39"/>
      <c r="K153" s="194">
        <f t="shared" si="44"/>
        <v>8.6008773528746217E-3</v>
      </c>
      <c r="L153" s="195">
        <f t="shared" si="45"/>
        <v>0.99880471400531756</v>
      </c>
      <c r="M153" s="196">
        <f t="shared" si="46"/>
        <v>3.7066940800574384E-4</v>
      </c>
      <c r="N153" s="197">
        <f t="shared" si="47"/>
        <v>4.3045184446207529E-2</v>
      </c>
      <c r="O153" s="39"/>
      <c r="P153" s="265">
        <v>0</v>
      </c>
      <c r="Q153" s="510"/>
      <c r="R153" s="262">
        <v>0</v>
      </c>
      <c r="S153" s="510"/>
      <c r="T153" s="262">
        <v>0</v>
      </c>
      <c r="U153" s="521"/>
      <c r="V153" s="262">
        <v>0</v>
      </c>
      <c r="W153" s="510"/>
      <c r="X153" s="262">
        <v>0</v>
      </c>
      <c r="Y153" s="510"/>
    </row>
    <row r="154" spans="1:25" ht="12.75" customHeight="1" thickBot="1">
      <c r="B154" s="146" t="s">
        <v>249</v>
      </c>
      <c r="C154" s="147" t="s">
        <v>251</v>
      </c>
      <c r="D154" s="148">
        <v>1</v>
      </c>
      <c r="E154" s="360" t="s">
        <v>252</v>
      </c>
      <c r="F154" s="344">
        <f t="shared" si="42"/>
        <v>12.597966144003172</v>
      </c>
      <c r="G154" s="379">
        <f>I528*M154</f>
        <v>12.597966144003172</v>
      </c>
      <c r="H154" s="314">
        <v>51.67</v>
      </c>
      <c r="I154" s="149">
        <f>$D154*$H154</f>
        <v>51.67</v>
      </c>
      <c r="J154" s="39"/>
      <c r="K154" s="217">
        <f t="shared" si="44"/>
        <v>1.1952859946827103E-3</v>
      </c>
      <c r="L154" s="116">
        <f t="shared" si="45"/>
        <v>1.0000000000000002</v>
      </c>
      <c r="M154" s="117">
        <f t="shared" si="46"/>
        <v>5.1512878729577151E-5</v>
      </c>
      <c r="N154" s="140">
        <f t="shared" si="47"/>
        <v>4.3096697324937108E-2</v>
      </c>
      <c r="O154" s="39"/>
      <c r="P154" s="285">
        <v>0</v>
      </c>
      <c r="Q154" s="513"/>
      <c r="R154" s="286">
        <v>0</v>
      </c>
      <c r="S154" s="513"/>
      <c r="T154" s="271">
        <v>0</v>
      </c>
      <c r="U154" s="524"/>
      <c r="V154" s="286">
        <v>0</v>
      </c>
      <c r="W154" s="513"/>
      <c r="X154" s="286">
        <v>0</v>
      </c>
      <c r="Y154" s="513"/>
    </row>
    <row r="155" spans="1:25" ht="15" customHeight="1">
      <c r="A155" s="291" t="s">
        <v>70</v>
      </c>
      <c r="B155" s="218"/>
      <c r="C155" s="219" t="s">
        <v>577</v>
      </c>
      <c r="D155" s="220"/>
      <c r="E155" s="362"/>
      <c r="F155" s="395">
        <f>+G155/D$3</f>
        <v>4.4568132168722814</v>
      </c>
      <c r="G155" s="381">
        <f>SUM(G156:G158)</f>
        <v>4103.8781782281649</v>
      </c>
      <c r="H155" s="316"/>
      <c r="I155" s="221">
        <f>SUM(I156:I158)</f>
        <v>18473.374299999999</v>
      </c>
      <c r="J155" s="39"/>
      <c r="K155" s="550" t="str">
        <f>+C155</f>
        <v>Pavimentação  Externa  (pavere 1/2 Fio)</v>
      </c>
      <c r="L155" s="551"/>
      <c r="M155" s="167">
        <f t="shared" si="46"/>
        <v>1.8417199342790538E-2</v>
      </c>
      <c r="N155" s="168"/>
      <c r="O155" s="38"/>
      <c r="P155" s="270">
        <f>SUMPRODUCT( P156:P158,$M$156:$M$158)</f>
        <v>0</v>
      </c>
      <c r="Q155" s="512">
        <f>+P155/$M$155</f>
        <v>0</v>
      </c>
      <c r="R155" s="270">
        <f>SUMPRODUCT( R156:R158,$M$156:$M$158)</f>
        <v>0</v>
      </c>
      <c r="S155" s="512">
        <f>+R155/$M$155</f>
        <v>0</v>
      </c>
      <c r="T155" s="270">
        <f>SUMPRODUCT( T156:T158,$M$156:$M$158)</f>
        <v>0</v>
      </c>
      <c r="U155" s="523">
        <f>+T155/$M$155</f>
        <v>0</v>
      </c>
      <c r="V155" s="270">
        <f>SUMPRODUCT( V156:V158,$M$156:$M$158)</f>
        <v>0</v>
      </c>
      <c r="W155" s="512">
        <f>+V155/$M$155</f>
        <v>0</v>
      </c>
      <c r="X155" s="270">
        <f>SUMPRODUCT( X156:X158,$M$156:$M$158)</f>
        <v>0</v>
      </c>
      <c r="Y155" s="512">
        <f>+X155/$M$155</f>
        <v>0</v>
      </c>
    </row>
    <row r="156" spans="1:25" ht="25.5" customHeight="1">
      <c r="B156" s="86" t="s">
        <v>253</v>
      </c>
      <c r="C156" s="96" t="s">
        <v>254</v>
      </c>
      <c r="D156" s="97">
        <v>511.53</v>
      </c>
      <c r="E156" s="350" t="s">
        <v>255</v>
      </c>
      <c r="F156" s="339">
        <f t="shared" si="42"/>
        <v>7.0416462203397634</v>
      </c>
      <c r="G156" s="372">
        <f>I528*M156*0.9</f>
        <v>3602.013291090399</v>
      </c>
      <c r="H156" s="308">
        <v>32.090000000000003</v>
      </c>
      <c r="I156" s="114">
        <f>$D156*$H156</f>
        <v>16414.9977</v>
      </c>
      <c r="J156" s="39"/>
      <c r="K156" s="187">
        <f>+I156/$I$155</f>
        <v>0.88857603561900445</v>
      </c>
      <c r="L156" s="188">
        <f>+K156</f>
        <v>0.88857603561900445</v>
      </c>
      <c r="M156" s="189">
        <f t="shared" si="46"/>
        <v>1.6365081979221749E-2</v>
      </c>
      <c r="N156" s="190">
        <f>+M156</f>
        <v>1.6365081979221749E-2</v>
      </c>
      <c r="O156" s="39"/>
      <c r="P156" s="262">
        <v>0</v>
      </c>
      <c r="Q156" s="510"/>
      <c r="R156" s="262">
        <v>0</v>
      </c>
      <c r="S156" s="510"/>
      <c r="T156" s="262">
        <v>0</v>
      </c>
      <c r="U156" s="521"/>
      <c r="V156" s="262">
        <v>0</v>
      </c>
      <c r="W156" s="510"/>
      <c r="X156" s="262">
        <v>0</v>
      </c>
      <c r="Y156" s="510"/>
    </row>
    <row r="157" spans="1:25" ht="12.75" customHeight="1">
      <c r="B157" s="86" t="s">
        <v>256</v>
      </c>
      <c r="C157" s="96" t="s">
        <v>257</v>
      </c>
      <c r="D157" s="97">
        <v>196.91</v>
      </c>
      <c r="E157" s="350" t="s">
        <v>258</v>
      </c>
      <c r="F157" s="339">
        <f t="shared" si="42"/>
        <v>2.45278767967238</v>
      </c>
      <c r="G157" s="372">
        <f>I528*M157</f>
        <v>482.97842200428835</v>
      </c>
      <c r="H157" s="308">
        <v>10.06</v>
      </c>
      <c r="I157" s="114">
        <f>$D157*$H157</f>
        <v>1980.9146000000001</v>
      </c>
      <c r="J157" s="39"/>
      <c r="K157" s="187">
        <f>+I157/$I$155</f>
        <v>0.10723079432218294</v>
      </c>
      <c r="L157" s="188">
        <f>+L156+K157</f>
        <v>0.99580682994118741</v>
      </c>
      <c r="M157" s="189">
        <f t="shared" si="46"/>
        <v>1.9748909147174146E-3</v>
      </c>
      <c r="N157" s="190">
        <f>+N156+M157</f>
        <v>1.8339972893939162E-2</v>
      </c>
      <c r="O157" s="39"/>
      <c r="P157" s="262">
        <v>0</v>
      </c>
      <c r="Q157" s="510"/>
      <c r="R157" s="262">
        <v>0</v>
      </c>
      <c r="S157" s="510"/>
      <c r="T157" s="262">
        <v>0</v>
      </c>
      <c r="U157" s="521"/>
      <c r="V157" s="262">
        <v>0</v>
      </c>
      <c r="W157" s="510"/>
      <c r="X157" s="262">
        <v>0</v>
      </c>
      <c r="Y157" s="510"/>
    </row>
    <row r="158" spans="1:25" ht="12.75" customHeight="1" thickBot="1">
      <c r="B158" s="146" t="s">
        <v>259</v>
      </c>
      <c r="C158" s="147" t="s">
        <v>260</v>
      </c>
      <c r="D158" s="148">
        <v>7.7</v>
      </c>
      <c r="E158" s="360" t="s">
        <v>261</v>
      </c>
      <c r="F158" s="344">
        <f t="shared" si="42"/>
        <v>2.4527876796723804</v>
      </c>
      <c r="G158" s="379">
        <f>I528*M158</f>
        <v>18.88646513347733</v>
      </c>
      <c r="H158" s="314">
        <v>10.06</v>
      </c>
      <c r="I158" s="149">
        <f>$D158*$H158</f>
        <v>77.462000000000003</v>
      </c>
      <c r="J158" s="39"/>
      <c r="K158" s="187">
        <f>+I158/$I$155</f>
        <v>4.193170058812699E-3</v>
      </c>
      <c r="L158" s="188">
        <f>+L157+K158</f>
        <v>1</v>
      </c>
      <c r="M158" s="189">
        <f>+I158/$I$514</f>
        <v>7.7226448851374209E-5</v>
      </c>
      <c r="N158" s="242">
        <f>+N157+M158</f>
        <v>1.8417199342790538E-2</v>
      </c>
      <c r="O158" s="39"/>
      <c r="P158" s="286">
        <v>0</v>
      </c>
      <c r="Q158" s="513"/>
      <c r="R158" s="286">
        <v>0</v>
      </c>
      <c r="S158" s="513"/>
      <c r="T158" s="271">
        <v>0</v>
      </c>
      <c r="U158" s="524"/>
      <c r="V158" s="286">
        <v>0</v>
      </c>
      <c r="W158" s="513"/>
      <c r="X158" s="286">
        <v>0</v>
      </c>
      <c r="Y158" s="513"/>
    </row>
    <row r="159" spans="1:25" ht="12.75" customHeight="1">
      <c r="A159" s="291" t="s">
        <v>70</v>
      </c>
      <c r="B159" s="240"/>
      <c r="C159" s="219" t="s">
        <v>578</v>
      </c>
      <c r="D159" s="241"/>
      <c r="E159" s="367"/>
      <c r="F159" s="395">
        <f>+G159/D$3</f>
        <v>2.3139941682138221</v>
      </c>
      <c r="G159" s="381">
        <f>SUM(G160:G165)</f>
        <v>2130.7489700329693</v>
      </c>
      <c r="H159" s="323"/>
      <c r="I159" s="221">
        <f>SUM(I160:I165)</f>
        <v>12256.2029</v>
      </c>
      <c r="J159" s="39"/>
      <c r="K159" s="552" t="str">
        <f>+C159</f>
        <v>Muro de Divisa</v>
      </c>
      <c r="L159" s="553"/>
      <c r="M159" s="170">
        <f>+I159/$I$514</f>
        <v>1.2218933494731793E-2</v>
      </c>
      <c r="N159" s="168"/>
      <c r="O159" s="38"/>
      <c r="P159" s="270">
        <f>SUMPRODUCT( P160:P165,$M$160:$M$165)</f>
        <v>0</v>
      </c>
      <c r="Q159" s="512">
        <f>+P159/$M$159</f>
        <v>0</v>
      </c>
      <c r="R159" s="270">
        <f>SUMPRODUCT( R160:R165,$M$160:$M$165)</f>
        <v>0</v>
      </c>
      <c r="S159" s="512">
        <f>+R159/$M$159</f>
        <v>0</v>
      </c>
      <c r="T159" s="270">
        <f>SUMPRODUCT( T160:T165,$M$160:$M$165)</f>
        <v>1.1334029372386437E-2</v>
      </c>
      <c r="U159" s="523">
        <f>+T159/$M$159</f>
        <v>0.92757926682170055</v>
      </c>
      <c r="V159" s="270">
        <f>SUMPRODUCT( V160:V165,$M$160:$M$165)</f>
        <v>9.9662460969846024E-3</v>
      </c>
      <c r="W159" s="512">
        <f>+V159/$M$159</f>
        <v>0.81563960564001436</v>
      </c>
      <c r="X159" s="270">
        <f>SUMPRODUCT( X160:X165,$M$160:$M$165)</f>
        <v>9.9662460969846024E-3</v>
      </c>
      <c r="Y159" s="512">
        <f>+X159/$M$159</f>
        <v>0.81563960564001436</v>
      </c>
    </row>
    <row r="160" spans="1:25" ht="25.5" customHeight="1">
      <c r="B160" s="86" t="s">
        <v>262</v>
      </c>
      <c r="C160" s="96" t="s">
        <v>263</v>
      </c>
      <c r="D160" s="97">
        <v>51.2</v>
      </c>
      <c r="E160" s="350" t="s">
        <v>264</v>
      </c>
      <c r="F160" s="339">
        <f t="shared" si="42"/>
        <v>25.122299894441621</v>
      </c>
      <c r="G160" s="372">
        <f>I528*M160*0.6</f>
        <v>1286.261754595411</v>
      </c>
      <c r="H160" s="308">
        <v>171.73</v>
      </c>
      <c r="I160" s="114">
        <f t="shared" ref="I160:I165" si="48">$D160*$H160</f>
        <v>8792.5759999999991</v>
      </c>
      <c r="J160" s="39"/>
      <c r="K160" s="187">
        <f t="shared" ref="K160:K165" si="49">+I160/$I$159</f>
        <v>0.71739804503399651</v>
      </c>
      <c r="L160" s="188">
        <f>+K160</f>
        <v>0.71739804503399651</v>
      </c>
      <c r="M160" s="189">
        <f>+I160/$I$514</f>
        <v>8.7658390015210082E-3</v>
      </c>
      <c r="N160" s="190">
        <f>+M160</f>
        <v>8.7658390015210082E-3</v>
      </c>
      <c r="O160" s="39"/>
      <c r="P160" s="262">
        <v>0</v>
      </c>
      <c r="Q160" s="510"/>
      <c r="R160" s="262">
        <v>0</v>
      </c>
      <c r="S160" s="510"/>
      <c r="T160" s="262">
        <v>1</v>
      </c>
      <c r="U160" s="521"/>
      <c r="V160" s="262">
        <v>1</v>
      </c>
      <c r="W160" s="510"/>
      <c r="X160" s="262">
        <v>1</v>
      </c>
      <c r="Y160" s="510"/>
    </row>
    <row r="161" spans="1:25" ht="25.5" customHeight="1">
      <c r="B161" s="86" t="s">
        <v>265</v>
      </c>
      <c r="C161" s="96" t="s">
        <v>266</v>
      </c>
      <c r="D161" s="97">
        <v>225.28</v>
      </c>
      <c r="E161" s="350" t="s">
        <v>267</v>
      </c>
      <c r="F161" s="339">
        <f t="shared" si="42"/>
        <v>1.4848386649308942</v>
      </c>
      <c r="G161" s="372">
        <f>I528*M161</f>
        <v>334.50445443563183</v>
      </c>
      <c r="H161" s="308">
        <v>6.09</v>
      </c>
      <c r="I161" s="114">
        <f t="shared" si="48"/>
        <v>1371.9551999999999</v>
      </c>
      <c r="J161" s="39"/>
      <c r="K161" s="187">
        <f t="shared" si="49"/>
        <v>0.1119396611816862</v>
      </c>
      <c r="L161" s="188">
        <f>+L160+K161</f>
        <v>0.8293377062156827</v>
      </c>
      <c r="M161" s="189">
        <f>+I161/$I$514</f>
        <v>1.3677832754018337E-3</v>
      </c>
      <c r="N161" s="190">
        <f>+N160+M161</f>
        <v>1.0133622276922842E-2</v>
      </c>
      <c r="O161" s="39"/>
      <c r="P161" s="262">
        <v>0</v>
      </c>
      <c r="Q161" s="510"/>
      <c r="R161" s="262">
        <v>0</v>
      </c>
      <c r="S161" s="510"/>
      <c r="T161" s="262">
        <v>1</v>
      </c>
      <c r="U161" s="521"/>
      <c r="V161" s="262">
        <v>0</v>
      </c>
      <c r="W161" s="510"/>
      <c r="X161" s="262">
        <v>0</v>
      </c>
      <c r="Y161" s="510"/>
    </row>
    <row r="162" spans="1:25" ht="12.75" customHeight="1">
      <c r="B162" s="86" t="s">
        <v>268</v>
      </c>
      <c r="C162" s="96" t="s">
        <v>269</v>
      </c>
      <c r="D162" s="97">
        <v>112.64</v>
      </c>
      <c r="E162" s="350" t="s">
        <v>270</v>
      </c>
      <c r="F162" s="339">
        <f t="shared" si="42"/>
        <v>1.9212690771191212</v>
      </c>
      <c r="G162" s="372">
        <f>I528*M162</f>
        <v>216.4117488466978</v>
      </c>
      <c r="H162" s="308">
        <v>7.88</v>
      </c>
      <c r="I162" s="114">
        <f t="shared" si="48"/>
        <v>887.60320000000002</v>
      </c>
      <c r="J162" s="39"/>
      <c r="K162" s="187">
        <f t="shared" si="49"/>
        <v>7.242073317829946E-2</v>
      </c>
      <c r="L162" s="188">
        <f>+L161+K162</f>
        <v>0.90175843939398215</v>
      </c>
      <c r="M162" s="189">
        <f t="shared" ref="M162:M168" si="50">+I162/$I$514</f>
        <v>8.8490412234535731E-4</v>
      </c>
      <c r="N162" s="190">
        <f>+N161+M162</f>
        <v>1.1018526399268199E-2</v>
      </c>
      <c r="O162" s="39"/>
      <c r="P162" s="262">
        <v>0</v>
      </c>
      <c r="Q162" s="510"/>
      <c r="R162" s="262">
        <v>0</v>
      </c>
      <c r="S162" s="510"/>
      <c r="T162" s="262">
        <v>0</v>
      </c>
      <c r="U162" s="521"/>
      <c r="V162" s="262">
        <v>0</v>
      </c>
      <c r="W162" s="510"/>
      <c r="X162" s="262">
        <v>0</v>
      </c>
      <c r="Y162" s="510"/>
    </row>
    <row r="163" spans="1:25" ht="12.75" customHeight="1">
      <c r="B163" s="86" t="s">
        <v>271</v>
      </c>
      <c r="C163" s="96" t="s">
        <v>272</v>
      </c>
      <c r="D163" s="97">
        <v>1.93</v>
      </c>
      <c r="E163" s="350" t="s">
        <v>273</v>
      </c>
      <c r="F163" s="339">
        <f t="shared" si="42"/>
        <v>56.577473267194414</v>
      </c>
      <c r="G163" s="372">
        <f>I528*M163</f>
        <v>109.19452340568522</v>
      </c>
      <c r="H163" s="308">
        <v>232.05</v>
      </c>
      <c r="I163" s="114">
        <f t="shared" si="48"/>
        <v>447.85649999999998</v>
      </c>
      <c r="J163" s="39"/>
      <c r="K163" s="187">
        <f t="shared" si="49"/>
        <v>3.6541211307786037E-2</v>
      </c>
      <c r="L163" s="188">
        <f>+L162+K163</f>
        <v>0.93829965070176824</v>
      </c>
      <c r="M163" s="189">
        <f t="shared" si="50"/>
        <v>4.464946307867789E-4</v>
      </c>
      <c r="N163" s="190">
        <f>+N162+M163</f>
        <v>1.1465021030054978E-2</v>
      </c>
      <c r="O163" s="39"/>
      <c r="P163" s="262">
        <v>0</v>
      </c>
      <c r="Q163" s="510"/>
      <c r="R163" s="262">
        <v>0</v>
      </c>
      <c r="S163" s="510"/>
      <c r="T163" s="262">
        <v>1</v>
      </c>
      <c r="U163" s="521"/>
      <c r="V163" s="262">
        <v>1</v>
      </c>
      <c r="W163" s="510"/>
      <c r="X163" s="262">
        <v>1</v>
      </c>
      <c r="Y163" s="510"/>
    </row>
    <row r="164" spans="1:25" ht="12.75" customHeight="1">
      <c r="B164" s="86" t="s">
        <v>274</v>
      </c>
      <c r="C164" s="96" t="s">
        <v>275</v>
      </c>
      <c r="D164" s="97">
        <v>106.16</v>
      </c>
      <c r="E164" s="350" t="s">
        <v>276</v>
      </c>
      <c r="F164" s="339">
        <f t="shared" si="42"/>
        <v>0.85579371328529352</v>
      </c>
      <c r="G164" s="372">
        <f>I528*M164</f>
        <v>90.851060602366758</v>
      </c>
      <c r="H164" s="308">
        <v>3.51</v>
      </c>
      <c r="I164" s="114">
        <f t="shared" si="48"/>
        <v>372.62159999999994</v>
      </c>
      <c r="J164" s="39"/>
      <c r="K164" s="187">
        <f t="shared" si="49"/>
        <v>3.0402695112039958E-2</v>
      </c>
      <c r="L164" s="188">
        <f>+L163+K164</f>
        <v>0.96870234581380821</v>
      </c>
      <c r="M164" s="189">
        <f t="shared" si="50"/>
        <v>3.7148850963462357E-4</v>
      </c>
      <c r="N164" s="190">
        <f>+N163+M164</f>
        <v>1.1836509539689602E-2</v>
      </c>
      <c r="O164" s="39"/>
      <c r="P164" s="262">
        <v>0</v>
      </c>
      <c r="Q164" s="510"/>
      <c r="R164" s="262">
        <v>0</v>
      </c>
      <c r="S164" s="510"/>
      <c r="T164" s="262">
        <v>1</v>
      </c>
      <c r="U164" s="521"/>
      <c r="V164" s="262">
        <v>1</v>
      </c>
      <c r="W164" s="510"/>
      <c r="X164" s="262">
        <v>1</v>
      </c>
      <c r="Y164" s="510"/>
    </row>
    <row r="165" spans="1:25" ht="25.5" customHeight="1" thickBot="1">
      <c r="B165" s="146" t="s">
        <v>277</v>
      </c>
      <c r="C165" s="147" t="s">
        <v>281</v>
      </c>
      <c r="D165" s="148">
        <v>20.48</v>
      </c>
      <c r="E165" s="360" t="s">
        <v>282</v>
      </c>
      <c r="F165" s="344">
        <f t="shared" si="42"/>
        <v>4.5666712962488756</v>
      </c>
      <c r="G165" s="379">
        <f>I528*M165</f>
        <v>93.525428147176981</v>
      </c>
      <c r="H165" s="314">
        <v>18.73</v>
      </c>
      <c r="I165" s="149">
        <f t="shared" si="48"/>
        <v>383.59040000000005</v>
      </c>
      <c r="J165" s="39"/>
      <c r="K165" s="187">
        <f t="shared" si="49"/>
        <v>3.1297654186191716E-2</v>
      </c>
      <c r="L165" s="188">
        <f>+L164+K165</f>
        <v>0.99999999999999989</v>
      </c>
      <c r="M165" s="189">
        <f t="shared" si="50"/>
        <v>3.8242395504219068E-4</v>
      </c>
      <c r="N165" s="242">
        <f>+N164+M165</f>
        <v>1.2218933494731793E-2</v>
      </c>
      <c r="O165" s="39"/>
      <c r="P165" s="286">
        <v>0</v>
      </c>
      <c r="Q165" s="513"/>
      <c r="R165" s="286">
        <v>0</v>
      </c>
      <c r="S165" s="513"/>
      <c r="T165" s="271">
        <v>1</v>
      </c>
      <c r="U165" s="524"/>
      <c r="V165" s="286">
        <v>1</v>
      </c>
      <c r="W165" s="513"/>
      <c r="X165" s="286">
        <v>1</v>
      </c>
      <c r="Y165" s="513"/>
    </row>
    <row r="166" spans="1:25" ht="12.75" customHeight="1">
      <c r="A166" s="291" t="s">
        <v>70</v>
      </c>
      <c r="B166" s="218"/>
      <c r="C166" s="219" t="s">
        <v>579</v>
      </c>
      <c r="D166" s="220"/>
      <c r="E166" s="362"/>
      <c r="F166" s="395">
        <f>+G166/D$3</f>
        <v>0</v>
      </c>
      <c r="G166" s="381">
        <f>SUM(G167:G171)</f>
        <v>0</v>
      </c>
      <c r="H166" s="316"/>
      <c r="I166" s="221">
        <f>SUM(I167:I171)</f>
        <v>4438.51</v>
      </c>
      <c r="J166" s="39"/>
      <c r="K166" s="552" t="str">
        <f>+C166</f>
        <v>Mobiliario</v>
      </c>
      <c r="L166" s="553"/>
      <c r="M166" s="170">
        <f t="shared" si="50"/>
        <v>4.425013109541619E-3</v>
      </c>
      <c r="N166" s="168"/>
      <c r="O166" s="38"/>
      <c r="P166" s="270">
        <f>SUMPRODUCT( P167:P171,$M$167:$M$171)</f>
        <v>0</v>
      </c>
      <c r="Q166" s="512">
        <f>+P166/$M$166</f>
        <v>0</v>
      </c>
      <c r="R166" s="270">
        <f>SUMPRODUCT( R167:R171,$M$167:$M$171)</f>
        <v>0</v>
      </c>
      <c r="S166" s="512">
        <f>+R166/$M$166</f>
        <v>0</v>
      </c>
      <c r="T166" s="270">
        <f>SUMPRODUCT( T167:T171,$M$167:$M$171)</f>
        <v>0</v>
      </c>
      <c r="U166" s="523">
        <f>+T166/$M$166</f>
        <v>0</v>
      </c>
      <c r="V166" s="270">
        <f>SUMPRODUCT( V167:V171,$M$167:$M$171)</f>
        <v>0</v>
      </c>
      <c r="W166" s="512">
        <f>+V166/$M$166</f>
        <v>0</v>
      </c>
      <c r="X166" s="270">
        <f>SUMPRODUCT( X167:X171,$M$167:$M$171)</f>
        <v>0</v>
      </c>
      <c r="Y166" s="512">
        <f>+X166/$M$166</f>
        <v>0</v>
      </c>
    </row>
    <row r="167" spans="1:25" ht="12" customHeight="1">
      <c r="B167" s="86" t="s">
        <v>283</v>
      </c>
      <c r="C167" s="96" t="s">
        <v>284</v>
      </c>
      <c r="D167" s="97">
        <v>1</v>
      </c>
      <c r="E167" s="350" t="s">
        <v>285</v>
      </c>
      <c r="F167" s="339">
        <f t="shared" si="42"/>
        <v>0</v>
      </c>
      <c r="G167" s="372">
        <v>0</v>
      </c>
      <c r="H167" s="308">
        <v>171.88</v>
      </c>
      <c r="I167" s="114">
        <f>$D167*$H167</f>
        <v>171.88</v>
      </c>
      <c r="J167" s="39"/>
      <c r="K167" s="187">
        <f>+I167/$I$166</f>
        <v>3.8724707165242386E-2</v>
      </c>
      <c r="L167" s="188">
        <f>+K167</f>
        <v>3.8724707165242386E-2</v>
      </c>
      <c r="M167" s="189">
        <f t="shared" si="50"/>
        <v>1.7135733686935784E-4</v>
      </c>
      <c r="N167" s="190">
        <f>+M167</f>
        <v>1.7135733686935784E-4</v>
      </c>
      <c r="O167" s="39"/>
      <c r="P167" s="262">
        <v>0</v>
      </c>
      <c r="Q167" s="510"/>
      <c r="R167" s="262">
        <v>0</v>
      </c>
      <c r="S167" s="510"/>
      <c r="T167" s="262">
        <v>0</v>
      </c>
      <c r="U167" s="521"/>
      <c r="V167" s="262">
        <v>0</v>
      </c>
      <c r="W167" s="510"/>
      <c r="X167" s="262">
        <v>0</v>
      </c>
      <c r="Y167" s="510"/>
    </row>
    <row r="168" spans="1:25" ht="12" customHeight="1">
      <c r="B168" s="86" t="s">
        <v>286</v>
      </c>
      <c r="C168" s="96" t="s">
        <v>287</v>
      </c>
      <c r="D168" s="97">
        <v>4</v>
      </c>
      <c r="E168" s="350" t="s">
        <v>288</v>
      </c>
      <c r="F168" s="339">
        <f t="shared" si="42"/>
        <v>0</v>
      </c>
      <c r="G168" s="372">
        <v>0</v>
      </c>
      <c r="H168" s="308">
        <v>171.88</v>
      </c>
      <c r="I168" s="114">
        <f>$D168*$H168</f>
        <v>687.52</v>
      </c>
      <c r="J168" s="39"/>
      <c r="K168" s="187">
        <f>+I168/$I$166</f>
        <v>0.15489882866096955</v>
      </c>
      <c r="L168" s="188">
        <f>+L167+K168</f>
        <v>0.19362353582621195</v>
      </c>
      <c r="M168" s="189">
        <f t="shared" si="50"/>
        <v>6.8542934747743136E-4</v>
      </c>
      <c r="N168" s="190">
        <f>+N167+M168</f>
        <v>8.567866843467892E-4</v>
      </c>
      <c r="O168" s="39"/>
      <c r="P168" s="262">
        <v>0</v>
      </c>
      <c r="Q168" s="510"/>
      <c r="R168" s="262">
        <v>0</v>
      </c>
      <c r="S168" s="510"/>
      <c r="T168" s="262">
        <v>0</v>
      </c>
      <c r="U168" s="521"/>
      <c r="V168" s="262">
        <v>0</v>
      </c>
      <c r="W168" s="510"/>
      <c r="X168" s="262">
        <v>0</v>
      </c>
      <c r="Y168" s="510"/>
    </row>
    <row r="169" spans="1:25" ht="12" customHeight="1">
      <c r="B169" s="86" t="s">
        <v>289</v>
      </c>
      <c r="C169" s="96" t="s">
        <v>290</v>
      </c>
      <c r="D169" s="97">
        <v>4</v>
      </c>
      <c r="E169" s="350" t="s">
        <v>291</v>
      </c>
      <c r="F169" s="339">
        <f t="shared" si="42"/>
        <v>0</v>
      </c>
      <c r="G169" s="372">
        <v>0</v>
      </c>
      <c r="H169" s="308">
        <v>786.36</v>
      </c>
      <c r="I169" s="114">
        <f>$D169*$H169</f>
        <v>3145.44</v>
      </c>
      <c r="J169" s="39"/>
      <c r="K169" s="187">
        <f>+I169/$I$166</f>
        <v>0.70867025195392142</v>
      </c>
      <c r="L169" s="188">
        <f>+L168+K169</f>
        <v>0.90229378778013336</v>
      </c>
      <c r="M169" s="189">
        <f t="shared" ref="M169:M174" si="51">+I169/$I$514</f>
        <v>3.1358751552382647E-3</v>
      </c>
      <c r="N169" s="190">
        <f>+N168+M169</f>
        <v>3.992661839585054E-3</v>
      </c>
      <c r="O169" s="39"/>
      <c r="P169" s="262">
        <v>0</v>
      </c>
      <c r="Q169" s="510"/>
      <c r="R169" s="262">
        <v>0</v>
      </c>
      <c r="S169" s="510"/>
      <c r="T169" s="262">
        <v>0</v>
      </c>
      <c r="U169" s="521"/>
      <c r="V169" s="262">
        <v>0</v>
      </c>
      <c r="W169" s="510"/>
      <c r="X169" s="262">
        <v>0</v>
      </c>
      <c r="Y169" s="510"/>
    </row>
    <row r="170" spans="1:25" ht="12" customHeight="1">
      <c r="B170" s="86" t="s">
        <v>292</v>
      </c>
      <c r="C170" s="96" t="s">
        <v>297</v>
      </c>
      <c r="D170" s="97">
        <v>1</v>
      </c>
      <c r="E170" s="350" t="s">
        <v>298</v>
      </c>
      <c r="F170" s="339">
        <f t="shared" si="42"/>
        <v>0</v>
      </c>
      <c r="G170" s="372">
        <v>0</v>
      </c>
      <c r="H170" s="308">
        <v>261.79000000000002</v>
      </c>
      <c r="I170" s="114">
        <f>$D170*$H170</f>
        <v>261.79000000000002</v>
      </c>
      <c r="J170" s="39"/>
      <c r="K170" s="187">
        <f>+I170/$I$166</f>
        <v>5.8981505054624191E-2</v>
      </c>
      <c r="L170" s="188">
        <f>+L169+K170</f>
        <v>0.96127529283475754</v>
      </c>
      <c r="M170" s="189">
        <f t="shared" si="51"/>
        <v>2.6099393308720733E-4</v>
      </c>
      <c r="N170" s="190">
        <f>+N169+M170</f>
        <v>4.2536557726722615E-3</v>
      </c>
      <c r="O170" s="39"/>
      <c r="P170" s="262">
        <v>0</v>
      </c>
      <c r="Q170" s="510"/>
      <c r="R170" s="262">
        <v>0</v>
      </c>
      <c r="S170" s="510"/>
      <c r="T170" s="262">
        <v>0</v>
      </c>
      <c r="U170" s="521"/>
      <c r="V170" s="262">
        <v>0</v>
      </c>
      <c r="W170" s="510"/>
      <c r="X170" s="262">
        <v>0</v>
      </c>
      <c r="Y170" s="510"/>
    </row>
    <row r="171" spans="1:25" ht="12" customHeight="1" thickBot="1">
      <c r="B171" s="146" t="s">
        <v>299</v>
      </c>
      <c r="C171" s="147" t="s">
        <v>300</v>
      </c>
      <c r="D171" s="148">
        <v>1</v>
      </c>
      <c r="E171" s="360" t="s">
        <v>301</v>
      </c>
      <c r="F171" s="344">
        <f t="shared" si="42"/>
        <v>0</v>
      </c>
      <c r="G171" s="379">
        <v>0</v>
      </c>
      <c r="H171" s="314">
        <v>171.88</v>
      </c>
      <c r="I171" s="149">
        <f>$D171*$H171</f>
        <v>171.88</v>
      </c>
      <c r="J171" s="39"/>
      <c r="K171" s="187">
        <f>+I171/$I$166</f>
        <v>3.8724707165242386E-2</v>
      </c>
      <c r="L171" s="188">
        <f>+L170+K171</f>
        <v>0.99999999999999989</v>
      </c>
      <c r="M171" s="189">
        <f t="shared" si="51"/>
        <v>1.7135733686935784E-4</v>
      </c>
      <c r="N171" s="190">
        <f>+N170+M171</f>
        <v>4.425013109541619E-3</v>
      </c>
      <c r="O171" s="39"/>
      <c r="P171" s="286">
        <v>0</v>
      </c>
      <c r="Q171" s="513"/>
      <c r="R171" s="286">
        <v>0</v>
      </c>
      <c r="S171" s="513"/>
      <c r="T171" s="271">
        <v>0</v>
      </c>
      <c r="U171" s="524"/>
      <c r="V171" s="286">
        <v>0</v>
      </c>
      <c r="W171" s="513"/>
      <c r="X171" s="286">
        <v>0</v>
      </c>
      <c r="Y171" s="513"/>
    </row>
    <row r="172" spans="1:25" ht="12.75" customHeight="1">
      <c r="A172" s="291" t="s">
        <v>70</v>
      </c>
      <c r="B172" s="218"/>
      <c r="C172" s="219" t="s">
        <v>580</v>
      </c>
      <c r="D172" s="220"/>
      <c r="E172" s="362"/>
      <c r="F172" s="395">
        <f>+G172/D$3</f>
        <v>0.85087585120102294</v>
      </c>
      <c r="G172" s="381">
        <f>SUM(G173:G180)</f>
        <v>783.49499254441389</v>
      </c>
      <c r="H172" s="316"/>
      <c r="I172" s="221">
        <f>SUM(I173:I180)</f>
        <v>14083.966199999999</v>
      </c>
      <c r="J172" s="39"/>
      <c r="K172" s="552" t="str">
        <f>+C172</f>
        <v>Complementares</v>
      </c>
      <c r="L172" s="553"/>
      <c r="M172" s="170">
        <f t="shared" si="51"/>
        <v>1.4041138821212763E-2</v>
      </c>
      <c r="N172" s="171"/>
      <c r="O172" s="38"/>
      <c r="P172" s="270">
        <f>SUMPRODUCT( P173:P180,$M$173:$M$180)</f>
        <v>0</v>
      </c>
      <c r="Q172" s="512">
        <f>+P172/$M$172</f>
        <v>0</v>
      </c>
      <c r="R172" s="270">
        <f>SUMPRODUCT( R173:R180,$M$173:$M$180)</f>
        <v>0</v>
      </c>
      <c r="S172" s="512">
        <f>+R172/$M$172</f>
        <v>0</v>
      </c>
      <c r="T172" s="270">
        <f>SUMPRODUCT( T173:T180,$M$173:$M$180)</f>
        <v>0</v>
      </c>
      <c r="U172" s="523">
        <f>+T172/$M$172</f>
        <v>0</v>
      </c>
      <c r="V172" s="270">
        <f>SUMPRODUCT( V173:V180,$M$173:$M$180)</f>
        <v>0</v>
      </c>
      <c r="W172" s="512">
        <f>+V172/$M$172</f>
        <v>0</v>
      </c>
      <c r="X172" s="270">
        <f>SUMPRODUCT( X173:X180,$M$173:$M$180)</f>
        <v>0</v>
      </c>
      <c r="Y172" s="512">
        <f>+X172/$M$172</f>
        <v>0</v>
      </c>
    </row>
    <row r="173" spans="1:25" ht="12" customHeight="1">
      <c r="B173" s="86" t="s">
        <v>302</v>
      </c>
      <c r="C173" s="96" t="s">
        <v>303</v>
      </c>
      <c r="D173" s="97">
        <v>12</v>
      </c>
      <c r="E173" s="350" t="s">
        <v>304</v>
      </c>
      <c r="F173" s="339">
        <f t="shared" si="42"/>
        <v>15.940681759143162</v>
      </c>
      <c r="G173" s="372">
        <f>I528*M173</f>
        <v>191.28818110971795</v>
      </c>
      <c r="H173" s="308">
        <v>65.38</v>
      </c>
      <c r="I173" s="114">
        <f t="shared" ref="I173:I180" si="52">$D173*$H173</f>
        <v>784.56</v>
      </c>
      <c r="J173" s="39"/>
      <c r="K173" s="187">
        <f>+I173/$I$172</f>
        <v>5.5705899095384086E-2</v>
      </c>
      <c r="L173" s="188">
        <f>+K173</f>
        <v>5.5705899095384086E-2</v>
      </c>
      <c r="M173" s="189">
        <f t="shared" si="51"/>
        <v>7.8217426235875837E-4</v>
      </c>
      <c r="N173" s="190">
        <f>+M173</f>
        <v>7.8217426235875837E-4</v>
      </c>
      <c r="O173" s="39"/>
      <c r="P173" s="262">
        <v>0</v>
      </c>
      <c r="Q173" s="510"/>
      <c r="R173" s="262">
        <v>0</v>
      </c>
      <c r="S173" s="510"/>
      <c r="T173" s="262">
        <v>0</v>
      </c>
      <c r="U173" s="521"/>
      <c r="V173" s="262">
        <v>0</v>
      </c>
      <c r="W173" s="510"/>
      <c r="X173" s="262">
        <v>0</v>
      </c>
      <c r="Y173" s="510"/>
    </row>
    <row r="174" spans="1:25" ht="12" customHeight="1">
      <c r="B174" s="86" t="s">
        <v>305</v>
      </c>
      <c r="C174" s="96" t="s">
        <v>306</v>
      </c>
      <c r="D174" s="97">
        <v>2375.4699999999998</v>
      </c>
      <c r="E174" s="350" t="s">
        <v>307</v>
      </c>
      <c r="F174" s="339">
        <f t="shared" si="42"/>
        <v>0</v>
      </c>
      <c r="G174" s="372">
        <v>0</v>
      </c>
      <c r="H174" s="308">
        <v>2.2599999999999998</v>
      </c>
      <c r="I174" s="114">
        <f t="shared" si="52"/>
        <v>5368.5621999999994</v>
      </c>
      <c r="J174" s="39"/>
      <c r="K174" s="187">
        <f>+I174/$I$172</f>
        <v>0.38118255353381919</v>
      </c>
      <c r="L174" s="188">
        <f>+L173+K174</f>
        <v>0.43688845262920328</v>
      </c>
      <c r="M174" s="189">
        <f t="shared" si="51"/>
        <v>5.3522371503927201E-3</v>
      </c>
      <c r="N174" s="190">
        <f>+N173+M174</f>
        <v>6.1344114127514782E-3</v>
      </c>
      <c r="O174" s="39"/>
      <c r="P174" s="262">
        <v>0</v>
      </c>
      <c r="Q174" s="510"/>
      <c r="R174" s="262">
        <v>0</v>
      </c>
      <c r="S174" s="510"/>
      <c r="T174" s="262">
        <v>0</v>
      </c>
      <c r="U174" s="521"/>
      <c r="V174" s="262">
        <v>0</v>
      </c>
      <c r="W174" s="510"/>
      <c r="X174" s="262">
        <v>0</v>
      </c>
      <c r="Y174" s="510"/>
    </row>
    <row r="175" spans="1:25" ht="12" customHeight="1">
      <c r="B175" s="86" t="s">
        <v>308</v>
      </c>
      <c r="C175" s="96" t="s">
        <v>309</v>
      </c>
      <c r="D175" s="97">
        <v>1</v>
      </c>
      <c r="E175" s="350" t="s">
        <v>310</v>
      </c>
      <c r="F175" s="339">
        <f t="shared" si="42"/>
        <v>0</v>
      </c>
      <c r="G175" s="372">
        <v>0</v>
      </c>
      <c r="H175" s="308">
        <v>1652.65</v>
      </c>
      <c r="I175" s="114">
        <f t="shared" si="52"/>
        <v>1652.65</v>
      </c>
      <c r="J175" s="39"/>
      <c r="K175" s="187">
        <f t="shared" ref="K175:K180" si="53">+I175/$I$172</f>
        <v>0.11734265593451937</v>
      </c>
      <c r="L175" s="188">
        <f t="shared" ref="L175:L180" si="54">+L174+K175</f>
        <v>0.5542311085637226</v>
      </c>
      <c r="M175" s="189">
        <f t="shared" ref="M175:M183" si="55">+I175/$I$514</f>
        <v>1.6476245216263921E-3</v>
      </c>
      <c r="N175" s="190">
        <f t="shared" ref="N175:N180" si="56">+N174+M175</f>
        <v>7.7820359343778699E-3</v>
      </c>
      <c r="O175" s="39"/>
      <c r="P175" s="262">
        <v>0</v>
      </c>
      <c r="Q175" s="510"/>
      <c r="R175" s="262">
        <v>0</v>
      </c>
      <c r="S175" s="510"/>
      <c r="T175" s="262">
        <v>0</v>
      </c>
      <c r="U175" s="521"/>
      <c r="V175" s="262">
        <v>0</v>
      </c>
      <c r="W175" s="510"/>
      <c r="X175" s="262">
        <v>0</v>
      </c>
      <c r="Y175" s="510"/>
    </row>
    <row r="176" spans="1:25" ht="12" customHeight="1">
      <c r="B176" s="86" t="s">
        <v>311</v>
      </c>
      <c r="C176" s="96" t="s">
        <v>312</v>
      </c>
      <c r="D176" s="97">
        <v>1</v>
      </c>
      <c r="E176" s="350" t="s">
        <v>313</v>
      </c>
      <c r="F176" s="339">
        <f t="shared" si="42"/>
        <v>14.441214141848416</v>
      </c>
      <c r="G176" s="372">
        <f>I528*M176</f>
        <v>14.441214141848416</v>
      </c>
      <c r="H176" s="308">
        <v>59.23</v>
      </c>
      <c r="I176" s="114">
        <f t="shared" si="52"/>
        <v>59.23</v>
      </c>
      <c r="J176" s="39"/>
      <c r="K176" s="187">
        <f t="shared" si="53"/>
        <v>4.2054914900321186E-3</v>
      </c>
      <c r="L176" s="188">
        <f t="shared" si="54"/>
        <v>0.55843660005375473</v>
      </c>
      <c r="M176" s="189">
        <f t="shared" si="55"/>
        <v>5.9049889822969888E-5</v>
      </c>
      <c r="N176" s="190">
        <f t="shared" si="56"/>
        <v>7.8410858242008389E-3</v>
      </c>
      <c r="O176" s="39"/>
      <c r="P176" s="262">
        <v>0</v>
      </c>
      <c r="Q176" s="510"/>
      <c r="R176" s="262">
        <v>0</v>
      </c>
      <c r="S176" s="510"/>
      <c r="T176" s="262">
        <v>0</v>
      </c>
      <c r="U176" s="521"/>
      <c r="V176" s="262">
        <v>0</v>
      </c>
      <c r="W176" s="510"/>
      <c r="X176" s="262">
        <v>0</v>
      </c>
      <c r="Y176" s="510"/>
    </row>
    <row r="177" spans="1:25" ht="12" customHeight="1">
      <c r="B177" s="86" t="s">
        <v>314</v>
      </c>
      <c r="C177" s="96" t="s">
        <v>315</v>
      </c>
      <c r="D177" s="97">
        <v>1</v>
      </c>
      <c r="E177" s="350" t="s">
        <v>316</v>
      </c>
      <c r="F177" s="339">
        <f t="shared" si="42"/>
        <v>322.68786940055651</v>
      </c>
      <c r="G177" s="372">
        <f>I528*M177</f>
        <v>322.68786940055651</v>
      </c>
      <c r="H177" s="308">
        <v>1323.49</v>
      </c>
      <c r="I177" s="114">
        <f t="shared" si="52"/>
        <v>1323.49</v>
      </c>
      <c r="J177" s="39"/>
      <c r="K177" s="187">
        <f t="shared" si="53"/>
        <v>9.3971398482907476E-2</v>
      </c>
      <c r="L177" s="188">
        <f t="shared" si="54"/>
        <v>0.6524079985366622</v>
      </c>
      <c r="M177" s="189">
        <f t="shared" si="55"/>
        <v>1.3194654513220062E-3</v>
      </c>
      <c r="N177" s="190">
        <f t="shared" si="56"/>
        <v>9.1605512755228453E-3</v>
      </c>
      <c r="O177" s="39"/>
      <c r="P177" s="262">
        <v>0</v>
      </c>
      <c r="Q177" s="510"/>
      <c r="R177" s="262">
        <v>0</v>
      </c>
      <c r="S177" s="510"/>
      <c r="T177" s="262">
        <v>0</v>
      </c>
      <c r="U177" s="521"/>
      <c r="V177" s="262">
        <v>0</v>
      </c>
      <c r="W177" s="510"/>
      <c r="X177" s="262">
        <v>0</v>
      </c>
      <c r="Y177" s="510"/>
    </row>
    <row r="178" spans="1:25" ht="12" customHeight="1">
      <c r="B178" s="86" t="s">
        <v>317</v>
      </c>
      <c r="C178" s="96" t="s">
        <v>318</v>
      </c>
      <c r="D178" s="97">
        <v>710.2</v>
      </c>
      <c r="E178" s="350" t="s">
        <v>319</v>
      </c>
      <c r="F178" s="339">
        <f t="shared" si="42"/>
        <v>0</v>
      </c>
      <c r="G178" s="372">
        <v>0</v>
      </c>
      <c r="H178" s="308">
        <v>5.42</v>
      </c>
      <c r="I178" s="114">
        <f t="shared" si="52"/>
        <v>3849.2840000000001</v>
      </c>
      <c r="J178" s="39"/>
      <c r="K178" s="187">
        <f t="shared" si="53"/>
        <v>0.2733096590362451</v>
      </c>
      <c r="L178" s="188">
        <f t="shared" si="54"/>
        <v>0.92571765757290736</v>
      </c>
      <c r="M178" s="189">
        <f t="shared" si="55"/>
        <v>3.8375788637062445E-3</v>
      </c>
      <c r="N178" s="190">
        <f t="shared" si="56"/>
        <v>1.299813013922909E-2</v>
      </c>
      <c r="O178" s="39"/>
      <c r="P178" s="262">
        <v>0</v>
      </c>
      <c r="Q178" s="510"/>
      <c r="R178" s="262">
        <v>0</v>
      </c>
      <c r="S178" s="510"/>
      <c r="T178" s="262">
        <v>0</v>
      </c>
      <c r="U178" s="521"/>
      <c r="V178" s="262">
        <v>0</v>
      </c>
      <c r="W178" s="510"/>
      <c r="X178" s="262">
        <v>0</v>
      </c>
      <c r="Y178" s="510"/>
    </row>
    <row r="179" spans="1:25" ht="12" customHeight="1">
      <c r="B179" s="86" t="s">
        <v>320</v>
      </c>
      <c r="C179" s="96" t="s">
        <v>321</v>
      </c>
      <c r="D179" s="97">
        <v>3</v>
      </c>
      <c r="E179" s="350" t="s">
        <v>322</v>
      </c>
      <c r="F179" s="339">
        <f t="shared" si="42"/>
        <v>14.589941824214238</v>
      </c>
      <c r="G179" s="372">
        <f>I528*M179</f>
        <v>43.769825472642715</v>
      </c>
      <c r="H179" s="308">
        <v>59.84</v>
      </c>
      <c r="I179" s="114">
        <f t="shared" si="52"/>
        <v>179.52</v>
      </c>
      <c r="J179" s="39"/>
      <c r="K179" s="187">
        <f t="shared" si="53"/>
        <v>1.2746409459573968E-2</v>
      </c>
      <c r="L179" s="188">
        <f t="shared" si="54"/>
        <v>0.93846406703248131</v>
      </c>
      <c r="M179" s="189">
        <f t="shared" si="55"/>
        <v>1.7897410469389761E-4</v>
      </c>
      <c r="N179" s="190">
        <f t="shared" si="56"/>
        <v>1.3177104243922988E-2</v>
      </c>
      <c r="O179" s="39"/>
      <c r="P179" s="262">
        <v>0</v>
      </c>
      <c r="Q179" s="510"/>
      <c r="R179" s="262">
        <v>0</v>
      </c>
      <c r="S179" s="510"/>
      <c r="T179" s="262">
        <v>0</v>
      </c>
      <c r="U179" s="521"/>
      <c r="V179" s="262">
        <v>0</v>
      </c>
      <c r="W179" s="510"/>
      <c r="X179" s="262">
        <v>0</v>
      </c>
      <c r="Y179" s="510"/>
    </row>
    <row r="180" spans="1:25" ht="12" customHeight="1" thickBot="1">
      <c r="B180" s="215" t="s">
        <v>323</v>
      </c>
      <c r="C180" s="216" t="s">
        <v>490</v>
      </c>
      <c r="D180" s="148">
        <v>1</v>
      </c>
      <c r="E180" s="360" t="s">
        <v>324</v>
      </c>
      <c r="F180" s="344">
        <f t="shared" si="42"/>
        <v>211.30790241964829</v>
      </c>
      <c r="G180" s="379">
        <f>I528*M180</f>
        <v>211.30790241964829</v>
      </c>
      <c r="H180" s="314">
        <v>866.67</v>
      </c>
      <c r="I180" s="149">
        <f t="shared" si="52"/>
        <v>866.67</v>
      </c>
      <c r="J180" s="39"/>
      <c r="K180" s="187">
        <f t="shared" si="53"/>
        <v>6.1535932967518768E-2</v>
      </c>
      <c r="L180" s="188">
        <f t="shared" si="54"/>
        <v>1</v>
      </c>
      <c r="M180" s="189">
        <f t="shared" si="55"/>
        <v>8.64034577289774E-4</v>
      </c>
      <c r="N180" s="190">
        <f t="shared" si="56"/>
        <v>1.4041138821212763E-2</v>
      </c>
      <c r="O180" s="39"/>
      <c r="P180" s="286">
        <v>0</v>
      </c>
      <c r="Q180" s="513"/>
      <c r="R180" s="286">
        <v>0</v>
      </c>
      <c r="S180" s="513"/>
      <c r="T180" s="271">
        <v>0</v>
      </c>
      <c r="U180" s="524"/>
      <c r="V180" s="286">
        <v>0</v>
      </c>
      <c r="W180" s="513"/>
      <c r="X180" s="286">
        <v>0</v>
      </c>
      <c r="Y180" s="513"/>
    </row>
    <row r="181" spans="1:25" s="8" customFormat="1" ht="12.75" customHeight="1">
      <c r="A181" s="293" t="s">
        <v>70</v>
      </c>
      <c r="B181" s="211" t="s">
        <v>325</v>
      </c>
      <c r="C181" s="212" t="s">
        <v>326</v>
      </c>
      <c r="D181" s="213"/>
      <c r="E181" s="364"/>
      <c r="F181" s="395">
        <f>+G181/D$3</f>
        <v>4.1343340759788481</v>
      </c>
      <c r="G181" s="384">
        <f>SUM(G182:G221)</f>
        <v>3806.9361605020827</v>
      </c>
      <c r="H181" s="320"/>
      <c r="I181" s="214">
        <f>SUM(I182:I221)</f>
        <v>15613.98</v>
      </c>
      <c r="J181" s="38"/>
      <c r="K181" s="552" t="str">
        <f>+C181</f>
        <v>Instalações de Esgoto e Águas Pluviais</v>
      </c>
      <c r="L181" s="553"/>
      <c r="M181" s="170">
        <f t="shared" si="55"/>
        <v>1.5566500062435514E-2</v>
      </c>
      <c r="N181" s="171"/>
      <c r="O181" s="38"/>
      <c r="P181" s="270">
        <f>SUMPRODUCT( P182:P221,$M$182:$M$221)</f>
        <v>0</v>
      </c>
      <c r="Q181" s="512">
        <f>+P181/$M$181</f>
        <v>0</v>
      </c>
      <c r="R181" s="270">
        <f>SUMPRODUCT( R182:R221,$M$182:$M$221)</f>
        <v>4.49643426532463E-3</v>
      </c>
      <c r="S181" s="512">
        <f>+R181/$M$181</f>
        <v>0.28885325842610277</v>
      </c>
      <c r="T181" s="270">
        <f>SUMPRODUCT( T182:T221,$M$182:$M$221)</f>
        <v>1.5566500062435512E-2</v>
      </c>
      <c r="U181" s="523">
        <f>+T181/$M$181</f>
        <v>0.99999999999999989</v>
      </c>
      <c r="V181" s="270">
        <f>SUMPRODUCT( V182:V221,$M$182:$M$221)</f>
        <v>1.5566500062435512E-2</v>
      </c>
      <c r="W181" s="512">
        <f>+V181/$M$181</f>
        <v>0.99999999999999989</v>
      </c>
      <c r="X181" s="270">
        <f>SUMPRODUCT( X182:X221,$M$182:$M$221)</f>
        <v>1.5566500062435512E-2</v>
      </c>
      <c r="Y181" s="512">
        <f>+X181/$M$181</f>
        <v>0.99999999999999989</v>
      </c>
    </row>
    <row r="182" spans="1:25" ht="12.75" customHeight="1">
      <c r="B182" s="86" t="s">
        <v>327</v>
      </c>
      <c r="C182" s="96" t="s">
        <v>328</v>
      </c>
      <c r="D182" s="97">
        <v>18</v>
      </c>
      <c r="E182" s="350" t="s">
        <v>329</v>
      </c>
      <c r="F182" s="339">
        <f t="shared" si="42"/>
        <v>1.1995740938357964</v>
      </c>
      <c r="G182" s="372">
        <f>I528*M182</f>
        <v>21.592333689044334</v>
      </c>
      <c r="H182" s="308">
        <v>4.92</v>
      </c>
      <c r="I182" s="114">
        <f t="shared" ref="I182:I218" si="57">$D182*$H182</f>
        <v>88.56</v>
      </c>
      <c r="J182" s="39"/>
      <c r="K182" s="187">
        <f>+I182/$I$181</f>
        <v>5.6718402354812803E-3</v>
      </c>
      <c r="L182" s="188">
        <f>+K182</f>
        <v>5.6718402354812803E-3</v>
      </c>
      <c r="M182" s="189">
        <f t="shared" si="55"/>
        <v>8.8290701379743614E-5</v>
      </c>
      <c r="N182" s="190">
        <f>+M182</f>
        <v>8.8290701379743614E-5</v>
      </c>
      <c r="O182" s="39"/>
      <c r="P182" s="262">
        <v>0</v>
      </c>
      <c r="Q182" s="510"/>
      <c r="R182" s="262">
        <v>0</v>
      </c>
      <c r="S182" s="510"/>
      <c r="T182" s="262">
        <v>1</v>
      </c>
      <c r="U182" s="521"/>
      <c r="V182" s="262">
        <v>1</v>
      </c>
      <c r="W182" s="510"/>
      <c r="X182" s="262">
        <v>1</v>
      </c>
      <c r="Y182" s="510"/>
    </row>
    <row r="183" spans="1:25" ht="12.75" customHeight="1">
      <c r="B183" s="86" t="s">
        <v>330</v>
      </c>
      <c r="C183" s="96" t="s">
        <v>331</v>
      </c>
      <c r="D183" s="97">
        <v>8</v>
      </c>
      <c r="E183" s="350" t="s">
        <v>332</v>
      </c>
      <c r="F183" s="339">
        <f t="shared" si="42"/>
        <v>1.7189019027525132</v>
      </c>
      <c r="G183" s="372">
        <f>I528*M183</f>
        <v>13.751215222020106</v>
      </c>
      <c r="H183" s="308">
        <v>7.05</v>
      </c>
      <c r="I183" s="114">
        <f t="shared" si="57"/>
        <v>56.4</v>
      </c>
      <c r="J183" s="39"/>
      <c r="K183" s="187">
        <f>+I183/$I$181</f>
        <v>3.6121475754420079E-3</v>
      </c>
      <c r="L183" s="188">
        <f>+L182+K183</f>
        <v>9.2839878109232873E-3</v>
      </c>
      <c r="M183" s="189">
        <f t="shared" si="55"/>
        <v>5.6228495458644304E-5</v>
      </c>
      <c r="N183" s="190">
        <f>+N182+M183</f>
        <v>1.4451919683838792E-4</v>
      </c>
      <c r="O183" s="39"/>
      <c r="P183" s="262">
        <v>0</v>
      </c>
      <c r="Q183" s="510"/>
      <c r="R183" s="262">
        <v>0</v>
      </c>
      <c r="S183" s="510"/>
      <c r="T183" s="262">
        <v>1</v>
      </c>
      <c r="U183" s="521"/>
      <c r="V183" s="262">
        <v>1</v>
      </c>
      <c r="W183" s="510"/>
      <c r="X183" s="262">
        <v>1</v>
      </c>
      <c r="Y183" s="510"/>
    </row>
    <row r="184" spans="1:25" ht="12.75" customHeight="1">
      <c r="B184" s="86" t="s">
        <v>333</v>
      </c>
      <c r="C184" s="96" t="s">
        <v>334</v>
      </c>
      <c r="D184" s="97">
        <v>36</v>
      </c>
      <c r="E184" s="350" t="s">
        <v>335</v>
      </c>
      <c r="F184" s="339">
        <f t="shared" si="42"/>
        <v>2.4966745367639338</v>
      </c>
      <c r="G184" s="372">
        <f>I528*M184</f>
        <v>89.880283323501615</v>
      </c>
      <c r="H184" s="308">
        <v>10.24</v>
      </c>
      <c r="I184" s="114">
        <f t="shared" si="57"/>
        <v>368.64</v>
      </c>
      <c r="J184" s="39"/>
      <c r="K184" s="187">
        <f t="shared" ref="K184:K217" si="58">+I184/$I$181</f>
        <v>2.3609611386718826E-2</v>
      </c>
      <c r="L184" s="188">
        <f t="shared" ref="L184:L217" si="59">+L183+K184</f>
        <v>3.2893599197642114E-2</v>
      </c>
      <c r="M184" s="189">
        <f t="shared" ref="M184:M225" si="60">+I184/$I$514</f>
        <v>3.6751901712543677E-4</v>
      </c>
      <c r="N184" s="190">
        <f t="shared" ref="N184:N217" si="61">+N183+M184</f>
        <v>5.1203821396382466E-4</v>
      </c>
      <c r="O184" s="39"/>
      <c r="P184" s="262">
        <v>0</v>
      </c>
      <c r="Q184" s="510"/>
      <c r="R184" s="262">
        <v>0</v>
      </c>
      <c r="S184" s="510"/>
      <c r="T184" s="262">
        <v>1</v>
      </c>
      <c r="U184" s="521"/>
      <c r="V184" s="262">
        <v>1</v>
      </c>
      <c r="W184" s="510"/>
      <c r="X184" s="262">
        <v>1</v>
      </c>
      <c r="Y184" s="510"/>
    </row>
    <row r="185" spans="1:25" ht="12.75" customHeight="1">
      <c r="B185" s="86" t="s">
        <v>336</v>
      </c>
      <c r="C185" s="96" t="s">
        <v>337</v>
      </c>
      <c r="D185" s="97">
        <v>106</v>
      </c>
      <c r="E185" s="350" t="s">
        <v>338</v>
      </c>
      <c r="F185" s="339">
        <f t="shared" si="42"/>
        <v>2.7965680602228833</v>
      </c>
      <c r="G185" s="372">
        <f>I528*M185</f>
        <v>296.43621438362561</v>
      </c>
      <c r="H185" s="308">
        <v>11.47</v>
      </c>
      <c r="I185" s="114">
        <f t="shared" si="57"/>
        <v>1215.8200000000002</v>
      </c>
      <c r="J185" s="39"/>
      <c r="K185" s="187">
        <f t="shared" si="58"/>
        <v>7.7867398318686221E-2</v>
      </c>
      <c r="L185" s="188">
        <f t="shared" si="59"/>
        <v>0.11076099751632834</v>
      </c>
      <c r="M185" s="189">
        <f t="shared" si="60"/>
        <v>1.2121228607895199E-3</v>
      </c>
      <c r="N185" s="190">
        <f t="shared" si="61"/>
        <v>1.7241610747533447E-3</v>
      </c>
      <c r="O185" s="39"/>
      <c r="P185" s="262">
        <v>0</v>
      </c>
      <c r="Q185" s="510"/>
      <c r="R185" s="262">
        <v>0</v>
      </c>
      <c r="S185" s="510"/>
      <c r="T185" s="262">
        <v>1</v>
      </c>
      <c r="U185" s="521"/>
      <c r="V185" s="262">
        <v>1</v>
      </c>
      <c r="W185" s="510"/>
      <c r="X185" s="262">
        <v>1</v>
      </c>
      <c r="Y185" s="510"/>
    </row>
    <row r="186" spans="1:25" ht="12.75" customHeight="1">
      <c r="B186" s="86" t="s">
        <v>339</v>
      </c>
      <c r="C186" s="96" t="s">
        <v>340</v>
      </c>
      <c r="D186" s="97">
        <v>90</v>
      </c>
      <c r="E186" s="350" t="s">
        <v>341</v>
      </c>
      <c r="F186" s="339">
        <f t="shared" si="42"/>
        <v>4.5081554867934708</v>
      </c>
      <c r="G186" s="372">
        <f>I528*M186</f>
        <v>405.73399381141235</v>
      </c>
      <c r="H186" s="308">
        <v>18.489999999999998</v>
      </c>
      <c r="I186" s="114">
        <f t="shared" si="57"/>
        <v>1664.1</v>
      </c>
      <c r="J186" s="39"/>
      <c r="K186" s="187">
        <f t="shared" si="58"/>
        <v>0.10657756702647243</v>
      </c>
      <c r="L186" s="188">
        <f t="shared" si="59"/>
        <v>0.21733856454280076</v>
      </c>
      <c r="M186" s="189">
        <f t="shared" si="60"/>
        <v>1.6590397037718081E-3</v>
      </c>
      <c r="N186" s="190">
        <f t="shared" si="61"/>
        <v>3.3832007785251526E-3</v>
      </c>
      <c r="O186" s="39"/>
      <c r="P186" s="262">
        <v>0</v>
      </c>
      <c r="Q186" s="510"/>
      <c r="R186" s="262">
        <v>0</v>
      </c>
      <c r="S186" s="510"/>
      <c r="T186" s="262">
        <v>1</v>
      </c>
      <c r="U186" s="521"/>
      <c r="V186" s="262">
        <v>1</v>
      </c>
      <c r="W186" s="510"/>
      <c r="X186" s="262">
        <v>1</v>
      </c>
      <c r="Y186" s="510"/>
    </row>
    <row r="187" spans="1:25" ht="12" customHeight="1">
      <c r="B187" s="86" t="s">
        <v>342</v>
      </c>
      <c r="C187" s="96" t="s">
        <v>343</v>
      </c>
      <c r="D187" s="97">
        <v>21</v>
      </c>
      <c r="E187" s="350" t="s">
        <v>344</v>
      </c>
      <c r="F187" s="339">
        <f t="shared" si="42"/>
        <v>1.1313056494711575</v>
      </c>
      <c r="G187" s="372">
        <f>I528*M187</f>
        <v>23.757418638894308</v>
      </c>
      <c r="H187" s="308">
        <v>4.6399999999999997</v>
      </c>
      <c r="I187" s="114">
        <f t="shared" si="57"/>
        <v>97.44</v>
      </c>
      <c r="J187" s="39"/>
      <c r="K187" s="187">
        <f t="shared" si="58"/>
        <v>6.2405613431040646E-3</v>
      </c>
      <c r="L187" s="188">
        <f t="shared" si="59"/>
        <v>0.22357912588590484</v>
      </c>
      <c r="M187" s="189">
        <f t="shared" si="60"/>
        <v>9.7143698537062071E-5</v>
      </c>
      <c r="N187" s="190">
        <f t="shared" si="61"/>
        <v>3.4803444770622146E-3</v>
      </c>
      <c r="O187" s="39"/>
      <c r="P187" s="262">
        <v>0</v>
      </c>
      <c r="Q187" s="510"/>
      <c r="R187" s="262">
        <v>0</v>
      </c>
      <c r="S187" s="510"/>
      <c r="T187" s="262">
        <v>1</v>
      </c>
      <c r="U187" s="521"/>
      <c r="V187" s="262">
        <v>1</v>
      </c>
      <c r="W187" s="510"/>
      <c r="X187" s="262">
        <v>1</v>
      </c>
      <c r="Y187" s="510"/>
    </row>
    <row r="188" spans="1:25" ht="12" customHeight="1">
      <c r="B188" s="86" t="s">
        <v>345</v>
      </c>
      <c r="C188" s="96" t="s">
        <v>346</v>
      </c>
      <c r="D188" s="97">
        <v>7</v>
      </c>
      <c r="E188" s="350" t="s">
        <v>347</v>
      </c>
      <c r="F188" s="339">
        <f t="shared" si="42"/>
        <v>1.4409518078393408</v>
      </c>
      <c r="G188" s="372">
        <f>I528*M188</f>
        <v>10.086662654875386</v>
      </c>
      <c r="H188" s="308">
        <v>5.91</v>
      </c>
      <c r="I188" s="114">
        <f t="shared" si="57"/>
        <v>41.370000000000005</v>
      </c>
      <c r="J188" s="39"/>
      <c r="K188" s="187">
        <f t="shared" si="58"/>
        <v>2.6495486736885796E-3</v>
      </c>
      <c r="L188" s="188">
        <f t="shared" si="59"/>
        <v>0.22622867455959342</v>
      </c>
      <c r="M188" s="189">
        <f t="shared" si="60"/>
        <v>4.1244199594399202E-5</v>
      </c>
      <c r="N188" s="190">
        <f t="shared" si="61"/>
        <v>3.521588676656614E-3</v>
      </c>
      <c r="O188" s="39"/>
      <c r="P188" s="262">
        <v>0</v>
      </c>
      <c r="Q188" s="510"/>
      <c r="R188" s="262">
        <v>0</v>
      </c>
      <c r="S188" s="510"/>
      <c r="T188" s="262">
        <v>1</v>
      </c>
      <c r="U188" s="521"/>
      <c r="V188" s="262">
        <v>1</v>
      </c>
      <c r="W188" s="510"/>
      <c r="X188" s="262">
        <v>1</v>
      </c>
      <c r="Y188" s="510"/>
    </row>
    <row r="189" spans="1:25" ht="12" customHeight="1">
      <c r="B189" s="86" t="s">
        <v>348</v>
      </c>
      <c r="C189" s="96" t="s">
        <v>349</v>
      </c>
      <c r="D189" s="97">
        <v>5</v>
      </c>
      <c r="E189" s="350" t="s">
        <v>350</v>
      </c>
      <c r="F189" s="339">
        <f t="shared" si="42"/>
        <v>2.0407388547572385</v>
      </c>
      <c r="G189" s="372">
        <f>I528*M189</f>
        <v>10.203694273786192</v>
      </c>
      <c r="H189" s="308">
        <v>8.3699999999999992</v>
      </c>
      <c r="I189" s="114">
        <f t="shared" si="57"/>
        <v>41.849999999999994</v>
      </c>
      <c r="J189" s="39"/>
      <c r="K189" s="187">
        <f t="shared" si="58"/>
        <v>2.6802903551817023E-3</v>
      </c>
      <c r="L189" s="188">
        <f t="shared" si="59"/>
        <v>0.22890896491477511</v>
      </c>
      <c r="M189" s="189">
        <f t="shared" si="60"/>
        <v>4.1722739981281272E-5</v>
      </c>
      <c r="N189" s="190">
        <f t="shared" si="61"/>
        <v>3.5633114166378952E-3</v>
      </c>
      <c r="O189" s="39"/>
      <c r="P189" s="262">
        <v>0</v>
      </c>
      <c r="Q189" s="510"/>
      <c r="R189" s="262">
        <v>0</v>
      </c>
      <c r="S189" s="510"/>
      <c r="T189" s="262">
        <v>1</v>
      </c>
      <c r="U189" s="521"/>
      <c r="V189" s="262">
        <v>1</v>
      </c>
      <c r="W189" s="510"/>
      <c r="X189" s="262">
        <v>1</v>
      </c>
      <c r="Y189" s="510"/>
    </row>
    <row r="190" spans="1:25" ht="12" customHeight="1">
      <c r="B190" s="86" t="s">
        <v>351</v>
      </c>
      <c r="C190" s="96" t="s">
        <v>352</v>
      </c>
      <c r="D190" s="97">
        <v>7</v>
      </c>
      <c r="E190" s="350" t="s">
        <v>353</v>
      </c>
      <c r="F190" s="339">
        <f t="shared" si="42"/>
        <v>2.5478758700374122</v>
      </c>
      <c r="G190" s="372">
        <f>I528*M190</f>
        <v>17.835131090261886</v>
      </c>
      <c r="H190" s="308">
        <v>10.45</v>
      </c>
      <c r="I190" s="114">
        <f t="shared" si="57"/>
        <v>73.149999999999991</v>
      </c>
      <c r="J190" s="39"/>
      <c r="K190" s="187">
        <f t="shared" si="58"/>
        <v>4.6849041692124619E-3</v>
      </c>
      <c r="L190" s="188">
        <f t="shared" si="59"/>
        <v>0.23359386908398758</v>
      </c>
      <c r="M190" s="189">
        <f t="shared" si="60"/>
        <v>7.2927561042550174E-5</v>
      </c>
      <c r="N190" s="190">
        <f t="shared" si="61"/>
        <v>3.6362389776804453E-3</v>
      </c>
      <c r="O190" s="39"/>
      <c r="P190" s="262">
        <v>0</v>
      </c>
      <c r="Q190" s="510"/>
      <c r="R190" s="262">
        <v>0</v>
      </c>
      <c r="S190" s="510"/>
      <c r="T190" s="262">
        <v>1</v>
      </c>
      <c r="U190" s="521"/>
      <c r="V190" s="262">
        <v>1</v>
      </c>
      <c r="W190" s="510"/>
      <c r="X190" s="262">
        <v>1</v>
      </c>
      <c r="Y190" s="510"/>
    </row>
    <row r="191" spans="1:25" ht="12" customHeight="1">
      <c r="B191" s="86" t="s">
        <v>354</v>
      </c>
      <c r="C191" s="96" t="s">
        <v>355</v>
      </c>
      <c r="D191" s="97">
        <v>10</v>
      </c>
      <c r="E191" s="350" t="s">
        <v>356</v>
      </c>
      <c r="F191" s="339">
        <f t="shared" si="42"/>
        <v>1.097171427288838</v>
      </c>
      <c r="G191" s="372">
        <f>I528*M191</f>
        <v>10.971714272888381</v>
      </c>
      <c r="H191" s="308">
        <v>4.5</v>
      </c>
      <c r="I191" s="114">
        <f t="shared" si="57"/>
        <v>45</v>
      </c>
      <c r="J191" s="39"/>
      <c r="K191" s="187">
        <f t="shared" si="58"/>
        <v>2.8820326399803253E-3</v>
      </c>
      <c r="L191" s="188">
        <f t="shared" si="59"/>
        <v>0.2364759017239679</v>
      </c>
      <c r="M191" s="189">
        <f t="shared" si="60"/>
        <v>4.4863161270194919E-5</v>
      </c>
      <c r="N191" s="190">
        <f t="shared" si="61"/>
        <v>3.6811021389506404E-3</v>
      </c>
      <c r="O191" s="39"/>
      <c r="P191" s="262">
        <v>0</v>
      </c>
      <c r="Q191" s="510"/>
      <c r="R191" s="262">
        <v>0</v>
      </c>
      <c r="S191" s="510"/>
      <c r="T191" s="262">
        <v>1</v>
      </c>
      <c r="U191" s="521"/>
      <c r="V191" s="262">
        <v>1</v>
      </c>
      <c r="W191" s="510"/>
      <c r="X191" s="262">
        <v>1</v>
      </c>
      <c r="Y191" s="510"/>
    </row>
    <row r="192" spans="1:25" ht="12" customHeight="1">
      <c r="B192" s="86" t="s">
        <v>357</v>
      </c>
      <c r="C192" s="96" t="s">
        <v>358</v>
      </c>
      <c r="D192" s="97">
        <v>8</v>
      </c>
      <c r="E192" s="350" t="s">
        <v>359</v>
      </c>
      <c r="F192" s="339">
        <f t="shared" si="42"/>
        <v>1.3799978396566277</v>
      </c>
      <c r="G192" s="372">
        <f>I528*M192</f>
        <v>11.039982717253022</v>
      </c>
      <c r="H192" s="308">
        <v>5.66</v>
      </c>
      <c r="I192" s="114">
        <f t="shared" si="57"/>
        <v>45.28</v>
      </c>
      <c r="J192" s="39"/>
      <c r="K192" s="187">
        <f t="shared" si="58"/>
        <v>2.8999652875179808E-3</v>
      </c>
      <c r="L192" s="188">
        <f t="shared" si="59"/>
        <v>0.23937586701148589</v>
      </c>
      <c r="M192" s="189">
        <f t="shared" si="60"/>
        <v>4.5142309829209471E-5</v>
      </c>
      <c r="N192" s="190">
        <f t="shared" si="61"/>
        <v>3.7262444487798497E-3</v>
      </c>
      <c r="O192" s="39"/>
      <c r="P192" s="262">
        <v>0</v>
      </c>
      <c r="Q192" s="510"/>
      <c r="R192" s="262">
        <v>0</v>
      </c>
      <c r="S192" s="510"/>
      <c r="T192" s="262">
        <v>1</v>
      </c>
      <c r="U192" s="521"/>
      <c r="V192" s="262">
        <v>1</v>
      </c>
      <c r="W192" s="510"/>
      <c r="X192" s="262">
        <v>1</v>
      </c>
      <c r="Y192" s="510"/>
    </row>
    <row r="193" spans="2:25" ht="12" customHeight="1">
      <c r="B193" s="86" t="s">
        <v>360</v>
      </c>
      <c r="C193" s="96" t="s">
        <v>361</v>
      </c>
      <c r="D193" s="97">
        <v>35</v>
      </c>
      <c r="E193" s="350" t="s">
        <v>362</v>
      </c>
      <c r="F193" s="339">
        <f t="shared" si="42"/>
        <v>1.9675940929379829</v>
      </c>
      <c r="G193" s="372">
        <f>I528*M193</f>
        <v>68.865793252829405</v>
      </c>
      <c r="H193" s="308">
        <v>8.07</v>
      </c>
      <c r="I193" s="114">
        <f t="shared" si="57"/>
        <v>282.45</v>
      </c>
      <c r="J193" s="39"/>
      <c r="K193" s="187">
        <f t="shared" si="58"/>
        <v>1.8089558203609843E-2</v>
      </c>
      <c r="L193" s="188">
        <f t="shared" si="59"/>
        <v>0.25746542521509574</v>
      </c>
      <c r="M193" s="189">
        <f t="shared" si="60"/>
        <v>2.8159110890592343E-4</v>
      </c>
      <c r="N193" s="190">
        <f t="shared" si="61"/>
        <v>4.007835557685773E-3</v>
      </c>
      <c r="O193" s="39"/>
      <c r="P193" s="262">
        <v>0</v>
      </c>
      <c r="Q193" s="510"/>
      <c r="R193" s="262">
        <v>0</v>
      </c>
      <c r="S193" s="510"/>
      <c r="T193" s="262">
        <v>1</v>
      </c>
      <c r="U193" s="521"/>
      <c r="V193" s="262">
        <v>1</v>
      </c>
      <c r="W193" s="510"/>
      <c r="X193" s="262">
        <v>1</v>
      </c>
      <c r="Y193" s="510"/>
    </row>
    <row r="194" spans="2:25" ht="12" customHeight="1">
      <c r="B194" s="86" t="s">
        <v>363</v>
      </c>
      <c r="C194" s="96" t="s">
        <v>365</v>
      </c>
      <c r="D194" s="97">
        <v>33</v>
      </c>
      <c r="E194" s="350" t="s">
        <v>366</v>
      </c>
      <c r="F194" s="339">
        <f t="shared" si="42"/>
        <v>2.4771692669454657</v>
      </c>
      <c r="G194" s="372">
        <f>I528*M194</f>
        <v>81.746585809200369</v>
      </c>
      <c r="H194" s="308">
        <v>10.16</v>
      </c>
      <c r="I194" s="114">
        <f t="shared" si="57"/>
        <v>335.28000000000003</v>
      </c>
      <c r="J194" s="39"/>
      <c r="K194" s="187">
        <f t="shared" si="58"/>
        <v>2.1473064522946745E-2</v>
      </c>
      <c r="L194" s="188">
        <f t="shared" si="59"/>
        <v>0.27893848973804247</v>
      </c>
      <c r="M194" s="189">
        <f t="shared" si="60"/>
        <v>3.3426046023713233E-4</v>
      </c>
      <c r="N194" s="190">
        <f t="shared" si="61"/>
        <v>4.3420960179229055E-3</v>
      </c>
      <c r="O194" s="39"/>
      <c r="P194" s="262">
        <v>0</v>
      </c>
      <c r="Q194" s="510"/>
      <c r="R194" s="262">
        <v>0</v>
      </c>
      <c r="S194" s="510"/>
      <c r="T194" s="262">
        <v>1</v>
      </c>
      <c r="U194" s="521"/>
      <c r="V194" s="262">
        <v>1</v>
      </c>
      <c r="W194" s="510"/>
      <c r="X194" s="262">
        <v>1</v>
      </c>
      <c r="Y194" s="510"/>
    </row>
    <row r="195" spans="2:25" ht="12" customHeight="1">
      <c r="B195" s="86" t="s">
        <v>367</v>
      </c>
      <c r="C195" s="96" t="s">
        <v>368</v>
      </c>
      <c r="D195" s="97">
        <v>10</v>
      </c>
      <c r="E195" s="350" t="s">
        <v>369</v>
      </c>
      <c r="F195" s="339">
        <f t="shared" si="42"/>
        <v>1.1873833001992538</v>
      </c>
      <c r="G195" s="372">
        <f>I528*M195</f>
        <v>11.873833001992537</v>
      </c>
      <c r="H195" s="308">
        <v>4.87</v>
      </c>
      <c r="I195" s="114">
        <f t="shared" si="57"/>
        <v>48.7</v>
      </c>
      <c r="J195" s="39"/>
      <c r="K195" s="187">
        <f t="shared" si="58"/>
        <v>3.1189997681564858E-3</v>
      </c>
      <c r="L195" s="188">
        <f t="shared" si="59"/>
        <v>0.28205748950619897</v>
      </c>
      <c r="M195" s="189">
        <f t="shared" si="60"/>
        <v>4.8551910085744284E-5</v>
      </c>
      <c r="N195" s="190">
        <f t="shared" si="61"/>
        <v>4.3906479280086501E-3</v>
      </c>
      <c r="O195" s="39"/>
      <c r="P195" s="262">
        <v>0</v>
      </c>
      <c r="Q195" s="510"/>
      <c r="R195" s="262">
        <v>0</v>
      </c>
      <c r="S195" s="510"/>
      <c r="T195" s="262">
        <v>1</v>
      </c>
      <c r="U195" s="521"/>
      <c r="V195" s="262">
        <v>1</v>
      </c>
      <c r="W195" s="510"/>
      <c r="X195" s="262">
        <v>1</v>
      </c>
      <c r="Y195" s="510"/>
    </row>
    <row r="196" spans="2:25" ht="12" customHeight="1">
      <c r="B196" s="86" t="s">
        <v>370</v>
      </c>
      <c r="C196" s="96" t="s">
        <v>371</v>
      </c>
      <c r="D196" s="97">
        <v>4</v>
      </c>
      <c r="E196" s="350" t="s">
        <v>372</v>
      </c>
      <c r="F196" s="339">
        <f t="shared" si="42"/>
        <v>2.5893245684016577</v>
      </c>
      <c r="G196" s="372">
        <f>I528*M196</f>
        <v>10.357298273606631</v>
      </c>
      <c r="H196" s="308">
        <v>10.62</v>
      </c>
      <c r="I196" s="114">
        <f t="shared" si="57"/>
        <v>42.48</v>
      </c>
      <c r="J196" s="39"/>
      <c r="K196" s="187">
        <f t="shared" si="58"/>
        <v>2.7206388121414271E-3</v>
      </c>
      <c r="L196" s="188">
        <f t="shared" si="59"/>
        <v>0.28477812831834037</v>
      </c>
      <c r="M196" s="189">
        <f t="shared" si="60"/>
        <v>4.2350824239064004E-5</v>
      </c>
      <c r="N196" s="190">
        <f t="shared" si="61"/>
        <v>4.4329987522477143E-3</v>
      </c>
      <c r="O196" s="39"/>
      <c r="P196" s="262">
        <v>0</v>
      </c>
      <c r="Q196" s="510"/>
      <c r="R196" s="262">
        <v>0</v>
      </c>
      <c r="S196" s="510"/>
      <c r="T196" s="262">
        <v>1</v>
      </c>
      <c r="U196" s="521"/>
      <c r="V196" s="262">
        <v>1</v>
      </c>
      <c r="W196" s="510"/>
      <c r="X196" s="262">
        <v>1</v>
      </c>
      <c r="Y196" s="510"/>
    </row>
    <row r="197" spans="2:25" ht="12" customHeight="1">
      <c r="B197" s="86" t="s">
        <v>373</v>
      </c>
      <c r="C197" s="96" t="s">
        <v>374</v>
      </c>
      <c r="D197" s="97">
        <v>4</v>
      </c>
      <c r="E197" s="350" t="s">
        <v>375</v>
      </c>
      <c r="F197" s="339">
        <f t="shared" si="42"/>
        <v>3.1525392344099279</v>
      </c>
      <c r="G197" s="372">
        <f>I528*M197</f>
        <v>12.610156937639712</v>
      </c>
      <c r="H197" s="308">
        <v>12.93</v>
      </c>
      <c r="I197" s="114">
        <f t="shared" si="57"/>
        <v>51.72</v>
      </c>
      <c r="J197" s="39"/>
      <c r="K197" s="187">
        <f t="shared" si="58"/>
        <v>3.3124161808840537E-3</v>
      </c>
      <c r="L197" s="188">
        <f t="shared" si="59"/>
        <v>0.28809054449922444</v>
      </c>
      <c r="M197" s="189">
        <f t="shared" si="60"/>
        <v>5.1562726686544027E-5</v>
      </c>
      <c r="N197" s="190">
        <f t="shared" si="61"/>
        <v>4.4845614789342583E-3</v>
      </c>
      <c r="O197" s="39"/>
      <c r="P197" s="262">
        <v>0</v>
      </c>
      <c r="Q197" s="510"/>
      <c r="R197" s="262">
        <v>0</v>
      </c>
      <c r="S197" s="510"/>
      <c r="T197" s="262">
        <v>1</v>
      </c>
      <c r="U197" s="521"/>
      <c r="V197" s="262">
        <v>1</v>
      </c>
      <c r="W197" s="510"/>
      <c r="X197" s="262">
        <v>1</v>
      </c>
      <c r="Y197" s="510"/>
    </row>
    <row r="198" spans="2:25" ht="12" customHeight="1">
      <c r="B198" s="86" t="s">
        <v>376</v>
      </c>
      <c r="C198" s="96" t="s">
        <v>377</v>
      </c>
      <c r="D198" s="97">
        <v>7</v>
      </c>
      <c r="E198" s="350" t="s">
        <v>378</v>
      </c>
      <c r="F198" s="339">
        <f t="shared" si="42"/>
        <v>3.206178726410716</v>
      </c>
      <c r="G198" s="372">
        <f>I528*M198</f>
        <v>22.443251084875012</v>
      </c>
      <c r="H198" s="308">
        <v>13.15</v>
      </c>
      <c r="I198" s="114">
        <f t="shared" si="57"/>
        <v>92.05</v>
      </c>
      <c r="J198" s="39"/>
      <c r="K198" s="187">
        <f t="shared" si="58"/>
        <v>5.8953578780041984E-3</v>
      </c>
      <c r="L198" s="188">
        <f t="shared" si="59"/>
        <v>0.29398590237722866</v>
      </c>
      <c r="M198" s="189">
        <f t="shared" si="60"/>
        <v>9.1770088776032055E-5</v>
      </c>
      <c r="N198" s="190">
        <f t="shared" si="61"/>
        <v>4.5763315677102906E-3</v>
      </c>
      <c r="O198" s="39"/>
      <c r="P198" s="262">
        <v>0</v>
      </c>
      <c r="Q198" s="510"/>
      <c r="R198" s="262">
        <v>0</v>
      </c>
      <c r="S198" s="510"/>
      <c r="T198" s="262">
        <v>1</v>
      </c>
      <c r="U198" s="521"/>
      <c r="V198" s="262">
        <v>1</v>
      </c>
      <c r="W198" s="510"/>
      <c r="X198" s="262">
        <v>1</v>
      </c>
      <c r="Y198" s="510"/>
    </row>
    <row r="199" spans="2:25" ht="12" customHeight="1">
      <c r="B199" s="86" t="s">
        <v>379</v>
      </c>
      <c r="C199" s="96" t="s">
        <v>380</v>
      </c>
      <c r="D199" s="97">
        <v>7</v>
      </c>
      <c r="E199" s="350" t="s">
        <v>381</v>
      </c>
      <c r="F199" s="339">
        <f t="shared" ref="F199:F262" si="62">+G199/D199</f>
        <v>4.8933845657082182</v>
      </c>
      <c r="G199" s="372">
        <f>I528*M199</f>
        <v>34.253691959957528</v>
      </c>
      <c r="H199" s="308">
        <v>20.07</v>
      </c>
      <c r="I199" s="114">
        <f t="shared" si="57"/>
        <v>140.49</v>
      </c>
      <c r="J199" s="39"/>
      <c r="K199" s="187">
        <f t="shared" si="58"/>
        <v>8.9977059020185761E-3</v>
      </c>
      <c r="L199" s="188">
        <f t="shared" si="59"/>
        <v>0.30298360827924725</v>
      </c>
      <c r="M199" s="189">
        <f t="shared" si="60"/>
        <v>1.4006278948554857E-4</v>
      </c>
      <c r="N199" s="190">
        <f t="shared" si="61"/>
        <v>4.7163943571958394E-3</v>
      </c>
      <c r="O199" s="39"/>
      <c r="P199" s="262">
        <v>0</v>
      </c>
      <c r="Q199" s="510"/>
      <c r="R199" s="262">
        <v>0</v>
      </c>
      <c r="S199" s="510"/>
      <c r="T199" s="262">
        <v>1</v>
      </c>
      <c r="U199" s="521"/>
      <c r="V199" s="262">
        <v>1</v>
      </c>
      <c r="W199" s="510"/>
      <c r="X199" s="262">
        <v>1</v>
      </c>
      <c r="Y199" s="510"/>
    </row>
    <row r="200" spans="2:25" ht="12" customHeight="1">
      <c r="B200" s="86" t="s">
        <v>382</v>
      </c>
      <c r="C200" s="96" t="s">
        <v>383</v>
      </c>
      <c r="D200" s="97">
        <v>3</v>
      </c>
      <c r="E200" s="350" t="s">
        <v>384</v>
      </c>
      <c r="F200" s="339">
        <f t="shared" si="62"/>
        <v>1.6091847600236289</v>
      </c>
      <c r="G200" s="372">
        <f>I528*M200</f>
        <v>4.8275542800708866</v>
      </c>
      <c r="H200" s="308">
        <v>6.6</v>
      </c>
      <c r="I200" s="114">
        <f t="shared" si="57"/>
        <v>19.799999999999997</v>
      </c>
      <c r="J200" s="39"/>
      <c r="K200" s="187">
        <f t="shared" si="58"/>
        <v>1.268094361591343E-3</v>
      </c>
      <c r="L200" s="188">
        <f t="shared" si="59"/>
        <v>0.30425170264083862</v>
      </c>
      <c r="M200" s="189">
        <f t="shared" si="60"/>
        <v>1.9739790958885762E-5</v>
      </c>
      <c r="N200" s="190">
        <f t="shared" si="61"/>
        <v>4.736134148154725E-3</v>
      </c>
      <c r="O200" s="39"/>
      <c r="P200" s="262">
        <v>0</v>
      </c>
      <c r="Q200" s="510"/>
      <c r="R200" s="262">
        <v>0</v>
      </c>
      <c r="S200" s="510"/>
      <c r="T200" s="262">
        <v>1</v>
      </c>
      <c r="U200" s="521"/>
      <c r="V200" s="262">
        <v>1</v>
      </c>
      <c r="W200" s="510"/>
      <c r="X200" s="262">
        <v>1</v>
      </c>
      <c r="Y200" s="510"/>
    </row>
    <row r="201" spans="2:25" ht="12" customHeight="1">
      <c r="B201" s="86" t="s">
        <v>385</v>
      </c>
      <c r="C201" s="96" t="s">
        <v>386</v>
      </c>
      <c r="D201" s="97">
        <v>2</v>
      </c>
      <c r="E201" s="350" t="s">
        <v>387</v>
      </c>
      <c r="F201" s="339">
        <f t="shared" si="62"/>
        <v>2.5259324414916358</v>
      </c>
      <c r="G201" s="372">
        <f>I528*M201</f>
        <v>5.0518648829832715</v>
      </c>
      <c r="H201" s="308">
        <v>10.36</v>
      </c>
      <c r="I201" s="114">
        <f t="shared" si="57"/>
        <v>20.72</v>
      </c>
      <c r="J201" s="39"/>
      <c r="K201" s="187">
        <f t="shared" si="58"/>
        <v>1.3270159177864965E-3</v>
      </c>
      <c r="L201" s="188">
        <f t="shared" si="59"/>
        <v>0.30557871855862512</v>
      </c>
      <c r="M201" s="189">
        <f t="shared" si="60"/>
        <v>2.0656993367076415E-5</v>
      </c>
      <c r="N201" s="190">
        <f t="shared" si="61"/>
        <v>4.756791141521801E-3</v>
      </c>
      <c r="O201" s="39"/>
      <c r="P201" s="262">
        <v>0</v>
      </c>
      <c r="Q201" s="510"/>
      <c r="R201" s="262">
        <v>0</v>
      </c>
      <c r="S201" s="510"/>
      <c r="T201" s="262">
        <v>1</v>
      </c>
      <c r="U201" s="521"/>
      <c r="V201" s="262">
        <v>1</v>
      </c>
      <c r="W201" s="510"/>
      <c r="X201" s="262">
        <v>1</v>
      </c>
      <c r="Y201" s="510"/>
    </row>
    <row r="202" spans="2:25" ht="12" customHeight="1">
      <c r="B202" s="86" t="s">
        <v>388</v>
      </c>
      <c r="C202" s="96" t="s">
        <v>389</v>
      </c>
      <c r="D202" s="97">
        <v>18</v>
      </c>
      <c r="E202" s="350" t="s">
        <v>390</v>
      </c>
      <c r="F202" s="339">
        <f t="shared" si="62"/>
        <v>5.1713346606213912</v>
      </c>
      <c r="G202" s="372">
        <f>I528*M202</f>
        <v>93.084023891185041</v>
      </c>
      <c r="H202" s="308">
        <v>21.21</v>
      </c>
      <c r="I202" s="114">
        <f t="shared" si="57"/>
        <v>381.78000000000003</v>
      </c>
      <c r="J202" s="39"/>
      <c r="K202" s="187">
        <f t="shared" si="58"/>
        <v>2.4451164917593082E-2</v>
      </c>
      <c r="L202" s="188">
        <f t="shared" si="59"/>
        <v>0.3300298834762182</v>
      </c>
      <c r="M202" s="189">
        <f t="shared" si="60"/>
        <v>3.8061906021633377E-4</v>
      </c>
      <c r="N202" s="190">
        <f t="shared" si="61"/>
        <v>5.1374102017381351E-3</v>
      </c>
      <c r="O202" s="39"/>
      <c r="P202" s="262">
        <v>0</v>
      </c>
      <c r="Q202" s="510"/>
      <c r="R202" s="262">
        <v>0</v>
      </c>
      <c r="S202" s="510"/>
      <c r="T202" s="262">
        <v>1</v>
      </c>
      <c r="U202" s="521"/>
      <c r="V202" s="262">
        <v>1</v>
      </c>
      <c r="W202" s="510"/>
      <c r="X202" s="262">
        <v>1</v>
      </c>
      <c r="Y202" s="510"/>
    </row>
    <row r="203" spans="2:25" ht="12" customHeight="1">
      <c r="B203" s="86" t="s">
        <v>391</v>
      </c>
      <c r="C203" s="96" t="s">
        <v>392</v>
      </c>
      <c r="D203" s="97">
        <v>6</v>
      </c>
      <c r="E203" s="350" t="s">
        <v>393</v>
      </c>
      <c r="F203" s="339">
        <f t="shared" si="62"/>
        <v>0.7728963165568038</v>
      </c>
      <c r="G203" s="372">
        <f>I528*M203</f>
        <v>4.637377899340823</v>
      </c>
      <c r="H203" s="308">
        <v>3.17</v>
      </c>
      <c r="I203" s="114">
        <f t="shared" si="57"/>
        <v>19.02</v>
      </c>
      <c r="J203" s="39"/>
      <c r="K203" s="187">
        <f t="shared" si="58"/>
        <v>1.2181391291650175E-3</v>
      </c>
      <c r="L203" s="188">
        <f t="shared" si="59"/>
        <v>0.33124802260538322</v>
      </c>
      <c r="M203" s="189">
        <f t="shared" si="60"/>
        <v>1.8962162830202388E-5</v>
      </c>
      <c r="N203" s="190">
        <f t="shared" si="61"/>
        <v>5.1563723645683375E-3</v>
      </c>
      <c r="O203" s="39"/>
      <c r="P203" s="262">
        <v>0</v>
      </c>
      <c r="Q203" s="510"/>
      <c r="R203" s="262">
        <v>0</v>
      </c>
      <c r="S203" s="510"/>
      <c r="T203" s="262">
        <v>1</v>
      </c>
      <c r="U203" s="521"/>
      <c r="V203" s="262">
        <v>1</v>
      </c>
      <c r="W203" s="510"/>
      <c r="X203" s="262">
        <v>1</v>
      </c>
      <c r="Y203" s="510"/>
    </row>
    <row r="204" spans="2:25" ht="12" customHeight="1">
      <c r="B204" s="86" t="s">
        <v>394</v>
      </c>
      <c r="C204" s="96" t="s">
        <v>395</v>
      </c>
      <c r="D204" s="97">
        <v>3</v>
      </c>
      <c r="E204" s="350" t="s">
        <v>396</v>
      </c>
      <c r="F204" s="339">
        <f t="shared" si="62"/>
        <v>0.97038717346879455</v>
      </c>
      <c r="G204" s="372">
        <f>I528*M204</f>
        <v>2.9111615204063837</v>
      </c>
      <c r="H204" s="308">
        <v>3.98</v>
      </c>
      <c r="I204" s="114">
        <f t="shared" si="57"/>
        <v>11.94</v>
      </c>
      <c r="J204" s="39"/>
      <c r="K204" s="187">
        <f t="shared" si="58"/>
        <v>7.6469932714144629E-4</v>
      </c>
      <c r="L204" s="188">
        <f t="shared" si="59"/>
        <v>0.33201272193252468</v>
      </c>
      <c r="M204" s="189">
        <f t="shared" si="60"/>
        <v>1.1903692123691719E-5</v>
      </c>
      <c r="N204" s="190">
        <f t="shared" si="61"/>
        <v>5.168276056692029E-3</v>
      </c>
      <c r="O204" s="39"/>
      <c r="P204" s="262">
        <v>0</v>
      </c>
      <c r="Q204" s="510"/>
      <c r="R204" s="262">
        <v>0</v>
      </c>
      <c r="S204" s="510"/>
      <c r="T204" s="262">
        <v>1</v>
      </c>
      <c r="U204" s="521"/>
      <c r="V204" s="262">
        <v>1</v>
      </c>
      <c r="W204" s="510"/>
      <c r="X204" s="262">
        <v>1</v>
      </c>
      <c r="Y204" s="510"/>
    </row>
    <row r="205" spans="2:25" ht="12" customHeight="1">
      <c r="B205" s="86" t="s">
        <v>397</v>
      </c>
      <c r="C205" s="96" t="s">
        <v>398</v>
      </c>
      <c r="D205" s="97">
        <v>12</v>
      </c>
      <c r="E205" s="350" t="s">
        <v>399</v>
      </c>
      <c r="F205" s="339">
        <f t="shared" si="62"/>
        <v>1.3214820302012227</v>
      </c>
      <c r="G205" s="372">
        <f>I528*M205</f>
        <v>15.857784362414673</v>
      </c>
      <c r="H205" s="308">
        <v>5.42</v>
      </c>
      <c r="I205" s="114">
        <f t="shared" si="57"/>
        <v>65.039999999999992</v>
      </c>
      <c r="J205" s="39"/>
      <c r="K205" s="187">
        <f t="shared" si="58"/>
        <v>4.1654978423182297E-3</v>
      </c>
      <c r="L205" s="188">
        <f t="shared" si="59"/>
        <v>0.33617821977484291</v>
      </c>
      <c r="M205" s="189">
        <f t="shared" si="60"/>
        <v>6.4842222422521726E-5</v>
      </c>
      <c r="N205" s="190">
        <f t="shared" si="61"/>
        <v>5.2331182791145511E-3</v>
      </c>
      <c r="O205" s="39"/>
      <c r="P205" s="262">
        <v>0</v>
      </c>
      <c r="Q205" s="510"/>
      <c r="R205" s="262">
        <v>0</v>
      </c>
      <c r="S205" s="510"/>
      <c r="T205" s="262">
        <v>1</v>
      </c>
      <c r="U205" s="521"/>
      <c r="V205" s="262">
        <v>1</v>
      </c>
      <c r="W205" s="510"/>
      <c r="X205" s="262">
        <v>1</v>
      </c>
      <c r="Y205" s="510"/>
    </row>
    <row r="206" spans="2:25" ht="12" customHeight="1">
      <c r="B206" s="86" t="s">
        <v>400</v>
      </c>
      <c r="C206" s="96" t="s">
        <v>401</v>
      </c>
      <c r="D206" s="97">
        <v>36</v>
      </c>
      <c r="E206" s="350" t="s">
        <v>402</v>
      </c>
      <c r="F206" s="339">
        <f t="shared" si="62"/>
        <v>1.7067111091159706</v>
      </c>
      <c r="G206" s="372">
        <f>I528*M206</f>
        <v>61.441599928174938</v>
      </c>
      <c r="H206" s="308">
        <v>7</v>
      </c>
      <c r="I206" s="114">
        <f t="shared" si="57"/>
        <v>252</v>
      </c>
      <c r="J206" s="39"/>
      <c r="K206" s="187">
        <f t="shared" si="58"/>
        <v>1.6139382783889822E-2</v>
      </c>
      <c r="L206" s="188">
        <f t="shared" si="59"/>
        <v>0.35231760255873273</v>
      </c>
      <c r="M206" s="189">
        <f t="shared" si="60"/>
        <v>2.5123370311309158E-4</v>
      </c>
      <c r="N206" s="190">
        <f t="shared" si="61"/>
        <v>5.4843519822276423E-3</v>
      </c>
      <c r="O206" s="39"/>
      <c r="P206" s="262">
        <v>0</v>
      </c>
      <c r="Q206" s="510"/>
      <c r="R206" s="262">
        <v>0</v>
      </c>
      <c r="S206" s="510"/>
      <c r="T206" s="262">
        <v>1</v>
      </c>
      <c r="U206" s="521"/>
      <c r="V206" s="262">
        <v>1</v>
      </c>
      <c r="W206" s="510"/>
      <c r="X206" s="262">
        <v>1</v>
      </c>
      <c r="Y206" s="510"/>
    </row>
    <row r="207" spans="2:25" ht="12" customHeight="1">
      <c r="B207" s="86" t="s">
        <v>403</v>
      </c>
      <c r="C207" s="96" t="s">
        <v>404</v>
      </c>
      <c r="D207" s="97">
        <v>30</v>
      </c>
      <c r="E207" s="350" t="s">
        <v>405</v>
      </c>
      <c r="F207" s="339">
        <f t="shared" si="62"/>
        <v>3.8961776462390301</v>
      </c>
      <c r="G207" s="372">
        <f>I528*M207</f>
        <v>116.8853293871709</v>
      </c>
      <c r="H207" s="308">
        <v>15.98</v>
      </c>
      <c r="I207" s="114">
        <f t="shared" si="57"/>
        <v>479.40000000000003</v>
      </c>
      <c r="J207" s="39"/>
      <c r="K207" s="187">
        <f t="shared" si="58"/>
        <v>3.0703254391257068E-2</v>
      </c>
      <c r="L207" s="188">
        <f t="shared" si="59"/>
        <v>0.38302085694998977</v>
      </c>
      <c r="M207" s="189">
        <f t="shared" si="60"/>
        <v>4.779422113984766E-4</v>
      </c>
      <c r="N207" s="190">
        <f t="shared" si="61"/>
        <v>5.9622941936261185E-3</v>
      </c>
      <c r="O207" s="39"/>
      <c r="P207" s="262">
        <v>0</v>
      </c>
      <c r="Q207" s="510"/>
      <c r="R207" s="262">
        <v>0</v>
      </c>
      <c r="S207" s="510"/>
      <c r="T207" s="262">
        <v>1</v>
      </c>
      <c r="U207" s="521"/>
      <c r="V207" s="262">
        <v>1</v>
      </c>
      <c r="W207" s="510"/>
      <c r="X207" s="262">
        <v>1</v>
      </c>
      <c r="Y207" s="510"/>
    </row>
    <row r="208" spans="2:25" ht="12" customHeight="1">
      <c r="B208" s="86" t="s">
        <v>406</v>
      </c>
      <c r="C208" s="96" t="s">
        <v>407</v>
      </c>
      <c r="D208" s="97">
        <v>1</v>
      </c>
      <c r="E208" s="350" t="s">
        <v>408</v>
      </c>
      <c r="F208" s="339">
        <f t="shared" si="62"/>
        <v>2.9062852029517665</v>
      </c>
      <c r="G208" s="372">
        <f>I528*M208</f>
        <v>2.9062852029517665</v>
      </c>
      <c r="H208" s="308">
        <v>11.92</v>
      </c>
      <c r="I208" s="114">
        <f t="shared" si="57"/>
        <v>11.92</v>
      </c>
      <c r="J208" s="39"/>
      <c r="K208" s="187">
        <f t="shared" si="58"/>
        <v>7.6341842374589956E-4</v>
      </c>
      <c r="L208" s="188">
        <f t="shared" si="59"/>
        <v>0.38378427537373566</v>
      </c>
      <c r="M208" s="189">
        <f t="shared" si="60"/>
        <v>1.1883752940904965E-5</v>
      </c>
      <c r="N208" s="190">
        <f t="shared" si="61"/>
        <v>5.9741779465670233E-3</v>
      </c>
      <c r="O208" s="39"/>
      <c r="P208" s="262">
        <v>0</v>
      </c>
      <c r="Q208" s="510"/>
      <c r="R208" s="262">
        <v>0</v>
      </c>
      <c r="S208" s="510"/>
      <c r="T208" s="262">
        <v>1</v>
      </c>
      <c r="U208" s="521"/>
      <c r="V208" s="262">
        <v>1</v>
      </c>
      <c r="W208" s="510"/>
      <c r="X208" s="262">
        <v>1</v>
      </c>
      <c r="Y208" s="510"/>
    </row>
    <row r="209" spans="1:25" ht="12" customHeight="1">
      <c r="B209" s="86" t="s">
        <v>409</v>
      </c>
      <c r="C209" s="96" t="s">
        <v>410</v>
      </c>
      <c r="D209" s="97">
        <v>1</v>
      </c>
      <c r="E209" s="350" t="s">
        <v>411</v>
      </c>
      <c r="F209" s="339">
        <f t="shared" si="62"/>
        <v>4.734904248433164</v>
      </c>
      <c r="G209" s="372">
        <f>I528*M209</f>
        <v>4.734904248433164</v>
      </c>
      <c r="H209" s="308">
        <v>19.420000000000002</v>
      </c>
      <c r="I209" s="114">
        <f t="shared" si="57"/>
        <v>19.420000000000002</v>
      </c>
      <c r="J209" s="39"/>
      <c r="K209" s="187">
        <f t="shared" si="58"/>
        <v>1.2437571970759539E-3</v>
      </c>
      <c r="L209" s="188">
        <f t="shared" si="59"/>
        <v>0.38502803257081164</v>
      </c>
      <c r="M209" s="189">
        <f t="shared" si="60"/>
        <v>1.9360946485937454E-5</v>
      </c>
      <c r="N209" s="190">
        <f t="shared" si="61"/>
        <v>5.9935388930529611E-3</v>
      </c>
      <c r="O209" s="39"/>
      <c r="P209" s="262">
        <v>0</v>
      </c>
      <c r="Q209" s="510"/>
      <c r="R209" s="262">
        <v>0</v>
      </c>
      <c r="S209" s="510"/>
      <c r="T209" s="262">
        <v>1</v>
      </c>
      <c r="U209" s="521"/>
      <c r="V209" s="262">
        <v>1</v>
      </c>
      <c r="W209" s="510"/>
      <c r="X209" s="262">
        <v>1</v>
      </c>
      <c r="Y209" s="510"/>
    </row>
    <row r="210" spans="1:25" ht="12" customHeight="1">
      <c r="B210" s="86" t="s">
        <v>412</v>
      </c>
      <c r="C210" s="96" t="s">
        <v>413</v>
      </c>
      <c r="D210" s="97">
        <v>3</v>
      </c>
      <c r="E210" s="350" t="s">
        <v>414</v>
      </c>
      <c r="F210" s="339">
        <f t="shared" si="62"/>
        <v>4.9348332640724628</v>
      </c>
      <c r="G210" s="372">
        <f>I528*M210</f>
        <v>14.804499792217388</v>
      </c>
      <c r="H210" s="308">
        <v>20.239999999999998</v>
      </c>
      <c r="I210" s="114">
        <f t="shared" si="57"/>
        <v>60.72</v>
      </c>
      <c r="J210" s="39"/>
      <c r="K210" s="187">
        <f t="shared" si="58"/>
        <v>3.8888227088801192E-3</v>
      </c>
      <c r="L210" s="188">
        <f t="shared" si="59"/>
        <v>0.38891685527969178</v>
      </c>
      <c r="M210" s="189">
        <f t="shared" si="60"/>
        <v>6.0535358940583015E-5</v>
      </c>
      <c r="N210" s="190">
        <f t="shared" si="61"/>
        <v>6.0540742519935445E-3</v>
      </c>
      <c r="O210" s="39"/>
      <c r="P210" s="262">
        <v>0</v>
      </c>
      <c r="Q210" s="510"/>
      <c r="R210" s="262">
        <v>0</v>
      </c>
      <c r="S210" s="510"/>
      <c r="T210" s="262">
        <v>1</v>
      </c>
      <c r="U210" s="521"/>
      <c r="V210" s="262">
        <v>1</v>
      </c>
      <c r="W210" s="510"/>
      <c r="X210" s="262">
        <v>1</v>
      </c>
      <c r="Y210" s="510"/>
    </row>
    <row r="211" spans="1:25" ht="12" customHeight="1">
      <c r="B211" s="86" t="s">
        <v>415</v>
      </c>
      <c r="C211" s="96" t="s">
        <v>416</v>
      </c>
      <c r="D211" s="97">
        <v>1</v>
      </c>
      <c r="E211" s="350" t="s">
        <v>417</v>
      </c>
      <c r="F211" s="339">
        <f t="shared" si="62"/>
        <v>3.5548354244158356</v>
      </c>
      <c r="G211" s="372">
        <f>I528*M211</f>
        <v>3.5548354244158356</v>
      </c>
      <c r="H211" s="308">
        <v>14.58</v>
      </c>
      <c r="I211" s="114">
        <f t="shared" si="57"/>
        <v>14.58</v>
      </c>
      <c r="J211" s="39"/>
      <c r="K211" s="187">
        <f t="shared" si="58"/>
        <v>9.3377857535362544E-4</v>
      </c>
      <c r="L211" s="188">
        <f t="shared" si="59"/>
        <v>0.38985063385504543</v>
      </c>
      <c r="M211" s="189">
        <f t="shared" si="60"/>
        <v>1.4535664251543154E-5</v>
      </c>
      <c r="N211" s="190">
        <f t="shared" si="61"/>
        <v>6.0686099162450876E-3</v>
      </c>
      <c r="O211" s="39"/>
      <c r="P211" s="262">
        <v>0</v>
      </c>
      <c r="Q211" s="510"/>
      <c r="R211" s="262">
        <v>0</v>
      </c>
      <c r="S211" s="510"/>
      <c r="T211" s="262">
        <v>1</v>
      </c>
      <c r="U211" s="521"/>
      <c r="V211" s="262">
        <v>1</v>
      </c>
      <c r="W211" s="510"/>
      <c r="X211" s="262">
        <v>1</v>
      </c>
      <c r="Y211" s="510"/>
    </row>
    <row r="212" spans="1:25" ht="12" customHeight="1">
      <c r="B212" s="86" t="s">
        <v>418</v>
      </c>
      <c r="C212" s="96" t="s">
        <v>419</v>
      </c>
      <c r="D212" s="97">
        <v>15</v>
      </c>
      <c r="E212" s="350" t="s">
        <v>420</v>
      </c>
      <c r="F212" s="339">
        <f t="shared" si="62"/>
        <v>5.2005925653490932</v>
      </c>
      <c r="G212" s="372">
        <f>I528*M212</f>
        <v>78.008888480236394</v>
      </c>
      <c r="H212" s="308">
        <v>21.33</v>
      </c>
      <c r="I212" s="114">
        <f t="shared" si="57"/>
        <v>319.95</v>
      </c>
      <c r="J212" s="39"/>
      <c r="K212" s="187">
        <f t="shared" si="58"/>
        <v>2.0491252070260112E-2</v>
      </c>
      <c r="L212" s="188">
        <f t="shared" si="59"/>
        <v>0.41034188592530552</v>
      </c>
      <c r="M212" s="189">
        <f t="shared" si="60"/>
        <v>3.1897707663108588E-4</v>
      </c>
      <c r="N212" s="190">
        <f t="shared" si="61"/>
        <v>6.3875869928761734E-3</v>
      </c>
      <c r="O212" s="39"/>
      <c r="P212" s="262">
        <v>0</v>
      </c>
      <c r="Q212" s="510"/>
      <c r="R212" s="262">
        <v>0</v>
      </c>
      <c r="S212" s="510"/>
      <c r="T212" s="262">
        <v>1</v>
      </c>
      <c r="U212" s="521"/>
      <c r="V212" s="262">
        <v>1</v>
      </c>
      <c r="W212" s="510"/>
      <c r="X212" s="262">
        <v>1</v>
      </c>
      <c r="Y212" s="510"/>
    </row>
    <row r="213" spans="1:25" ht="12" customHeight="1">
      <c r="B213" s="86" t="s">
        <v>421</v>
      </c>
      <c r="C213" s="96" t="s">
        <v>424</v>
      </c>
      <c r="D213" s="97">
        <v>187</v>
      </c>
      <c r="E213" s="350" t="s">
        <v>425</v>
      </c>
      <c r="F213" s="339">
        <f t="shared" si="62"/>
        <v>3.0257549805898845</v>
      </c>
      <c r="G213" s="372">
        <f>I528*M213</f>
        <v>565.81618137030841</v>
      </c>
      <c r="H213" s="308">
        <v>12.41</v>
      </c>
      <c r="I213" s="114">
        <f t="shared" si="57"/>
        <v>2320.67</v>
      </c>
      <c r="J213" s="39"/>
      <c r="K213" s="187">
        <f t="shared" si="58"/>
        <v>0.14862770414718093</v>
      </c>
      <c r="L213" s="188">
        <f t="shared" si="59"/>
        <v>0.55896959007248648</v>
      </c>
      <c r="M213" s="189">
        <f t="shared" si="60"/>
        <v>2.3136131658867388E-3</v>
      </c>
      <c r="N213" s="190">
        <f t="shared" si="61"/>
        <v>8.7012001587629118E-3</v>
      </c>
      <c r="O213" s="39"/>
      <c r="P213" s="262">
        <v>0</v>
      </c>
      <c r="Q213" s="510"/>
      <c r="R213" s="262">
        <v>0</v>
      </c>
      <c r="S213" s="510"/>
      <c r="T213" s="262">
        <v>1</v>
      </c>
      <c r="U213" s="521"/>
      <c r="V213" s="262">
        <v>1</v>
      </c>
      <c r="W213" s="510"/>
      <c r="X213" s="262">
        <v>1</v>
      </c>
      <c r="Y213" s="510"/>
    </row>
    <row r="214" spans="1:25" ht="12" customHeight="1">
      <c r="B214" s="86" t="s">
        <v>426</v>
      </c>
      <c r="C214" s="96" t="s">
        <v>427</v>
      </c>
      <c r="D214" s="97">
        <v>18</v>
      </c>
      <c r="E214" s="350" t="s">
        <v>428</v>
      </c>
      <c r="F214" s="339">
        <f t="shared" si="62"/>
        <v>0.89480425292223009</v>
      </c>
      <c r="G214" s="372">
        <f>I528*M214</f>
        <v>16.106476552600142</v>
      </c>
      <c r="H214" s="308">
        <v>3.67</v>
      </c>
      <c r="I214" s="114">
        <f t="shared" si="57"/>
        <v>66.06</v>
      </c>
      <c r="J214" s="39"/>
      <c r="K214" s="187">
        <f t="shared" si="58"/>
        <v>4.2308239154911177E-3</v>
      </c>
      <c r="L214" s="188">
        <f t="shared" si="59"/>
        <v>0.5632004139879776</v>
      </c>
      <c r="M214" s="189">
        <f t="shared" si="60"/>
        <v>6.5859120744646141E-5</v>
      </c>
      <c r="N214" s="190">
        <f t="shared" si="61"/>
        <v>8.7670592795075584E-3</v>
      </c>
      <c r="O214" s="39"/>
      <c r="P214" s="262">
        <v>0</v>
      </c>
      <c r="Q214" s="510"/>
      <c r="R214" s="262">
        <v>0</v>
      </c>
      <c r="S214" s="510"/>
      <c r="T214" s="262">
        <v>1</v>
      </c>
      <c r="U214" s="521"/>
      <c r="V214" s="262">
        <v>1</v>
      </c>
      <c r="W214" s="510"/>
      <c r="X214" s="262">
        <v>1</v>
      </c>
      <c r="Y214" s="510"/>
    </row>
    <row r="215" spans="1:25" ht="12" customHeight="1">
      <c r="B215" s="86" t="s">
        <v>429</v>
      </c>
      <c r="C215" s="96" t="s">
        <v>430</v>
      </c>
      <c r="D215" s="97">
        <v>5</v>
      </c>
      <c r="E215" s="350" t="s">
        <v>431</v>
      </c>
      <c r="F215" s="339">
        <f t="shared" si="62"/>
        <v>9.6282888141413814</v>
      </c>
      <c r="G215" s="372">
        <f>I528*M215</f>
        <v>48.14144407070691</v>
      </c>
      <c r="H215" s="308">
        <v>39.49</v>
      </c>
      <c r="I215" s="114">
        <f t="shared" si="57"/>
        <v>197.45000000000002</v>
      </c>
      <c r="J215" s="39"/>
      <c r="K215" s="187">
        <f t="shared" si="58"/>
        <v>1.2645718772535895E-2</v>
      </c>
      <c r="L215" s="188">
        <f t="shared" si="59"/>
        <v>0.57584613276051344</v>
      </c>
      <c r="M215" s="189">
        <f t="shared" si="60"/>
        <v>1.9684958206222196E-4</v>
      </c>
      <c r="N215" s="190">
        <f t="shared" si="61"/>
        <v>8.9639088615697804E-3</v>
      </c>
      <c r="O215" s="39"/>
      <c r="P215" s="262">
        <v>0</v>
      </c>
      <c r="Q215" s="510"/>
      <c r="R215" s="262">
        <v>0</v>
      </c>
      <c r="S215" s="510"/>
      <c r="T215" s="262">
        <v>1</v>
      </c>
      <c r="U215" s="521"/>
      <c r="V215" s="262">
        <v>1</v>
      </c>
      <c r="W215" s="510"/>
      <c r="X215" s="262">
        <v>1</v>
      </c>
      <c r="Y215" s="510"/>
    </row>
    <row r="216" spans="1:25" ht="12" customHeight="1">
      <c r="B216" s="86" t="s">
        <v>432</v>
      </c>
      <c r="C216" s="96" t="s">
        <v>433</v>
      </c>
      <c r="D216" s="97">
        <v>4</v>
      </c>
      <c r="E216" s="350" t="s">
        <v>434</v>
      </c>
      <c r="F216" s="339">
        <f t="shared" si="62"/>
        <v>7.5461012610198974</v>
      </c>
      <c r="G216" s="372">
        <f>I528*M216</f>
        <v>30.18440504407959</v>
      </c>
      <c r="H216" s="308">
        <v>30.95</v>
      </c>
      <c r="I216" s="114">
        <f t="shared" si="57"/>
        <v>123.8</v>
      </c>
      <c r="J216" s="39"/>
      <c r="K216" s="187">
        <f t="shared" si="58"/>
        <v>7.9287920184347611E-3</v>
      </c>
      <c r="L216" s="188">
        <f t="shared" si="59"/>
        <v>0.58377492477894821</v>
      </c>
      <c r="M216" s="189">
        <f t="shared" si="60"/>
        <v>1.2342354145000292E-4</v>
      </c>
      <c r="N216" s="190">
        <f t="shared" si="61"/>
        <v>9.0873324030197825E-3</v>
      </c>
      <c r="O216" s="39"/>
      <c r="P216" s="262">
        <v>0</v>
      </c>
      <c r="Q216" s="510"/>
      <c r="R216" s="262">
        <v>0</v>
      </c>
      <c r="S216" s="510"/>
      <c r="T216" s="262">
        <v>1</v>
      </c>
      <c r="U216" s="521"/>
      <c r="V216" s="262">
        <v>1</v>
      </c>
      <c r="W216" s="510"/>
      <c r="X216" s="262">
        <v>1</v>
      </c>
      <c r="Y216" s="510"/>
    </row>
    <row r="217" spans="1:25" ht="12" customHeight="1">
      <c r="B217" s="86" t="s">
        <v>435</v>
      </c>
      <c r="C217" s="96" t="s">
        <v>436</v>
      </c>
      <c r="D217" s="97">
        <v>1</v>
      </c>
      <c r="E217" s="350" t="s">
        <v>437</v>
      </c>
      <c r="F217" s="339">
        <f t="shared" si="62"/>
        <v>13.619554650745444</v>
      </c>
      <c r="G217" s="372">
        <f>I528*M217</f>
        <v>13.619554650745444</v>
      </c>
      <c r="H217" s="308">
        <v>55.86</v>
      </c>
      <c r="I217" s="114">
        <f t="shared" si="57"/>
        <v>55.86</v>
      </c>
      <c r="J217" s="39"/>
      <c r="K217" s="187">
        <f t="shared" si="58"/>
        <v>3.5775631837622439E-3</v>
      </c>
      <c r="L217" s="188">
        <f t="shared" si="59"/>
        <v>0.58735248796271045</v>
      </c>
      <c r="M217" s="189">
        <f t="shared" si="60"/>
        <v>5.5690137523401965E-5</v>
      </c>
      <c r="N217" s="190">
        <f t="shared" si="61"/>
        <v>9.1430225405431838E-3</v>
      </c>
      <c r="O217" s="39"/>
      <c r="P217" s="262">
        <v>0</v>
      </c>
      <c r="Q217" s="510"/>
      <c r="R217" s="262">
        <v>0</v>
      </c>
      <c r="S217" s="510"/>
      <c r="T217" s="262">
        <v>1</v>
      </c>
      <c r="U217" s="521"/>
      <c r="V217" s="262">
        <v>1</v>
      </c>
      <c r="W217" s="510"/>
      <c r="X217" s="262">
        <v>1</v>
      </c>
      <c r="Y217" s="510"/>
    </row>
    <row r="218" spans="1:25" ht="12" customHeight="1">
      <c r="B218" s="86" t="s">
        <v>438</v>
      </c>
      <c r="C218" s="96" t="s">
        <v>1090</v>
      </c>
      <c r="D218" s="97">
        <v>25</v>
      </c>
      <c r="E218" s="350" t="s">
        <v>439</v>
      </c>
      <c r="F218" s="339">
        <f t="shared" si="62"/>
        <v>49.636035370547035</v>
      </c>
      <c r="G218" s="372">
        <f>I528*M218</f>
        <v>1240.9008842636758</v>
      </c>
      <c r="H218" s="308">
        <v>203.58</v>
      </c>
      <c r="I218" s="114">
        <f t="shared" si="57"/>
        <v>5089.5</v>
      </c>
      <c r="J218" s="39"/>
      <c r="K218" s="187">
        <f>+I218/$I$181</f>
        <v>0.32595789158177479</v>
      </c>
      <c r="L218" s="188">
        <f>+L217+K218</f>
        <v>0.91331037954448524</v>
      </c>
      <c r="M218" s="189">
        <f t="shared" si="60"/>
        <v>5.0740235396590453E-3</v>
      </c>
      <c r="N218" s="190">
        <f>+N217+M218</f>
        <v>1.4217046080202229E-2</v>
      </c>
      <c r="O218" s="39"/>
      <c r="P218" s="262">
        <v>0</v>
      </c>
      <c r="Q218" s="510"/>
      <c r="R218" s="262">
        <v>0.7</v>
      </c>
      <c r="S218" s="510"/>
      <c r="T218" s="262">
        <v>1</v>
      </c>
      <c r="U218" s="521"/>
      <c r="V218" s="262">
        <v>1</v>
      </c>
      <c r="W218" s="510"/>
      <c r="X218" s="262">
        <v>1</v>
      </c>
      <c r="Y218" s="510"/>
    </row>
    <row r="219" spans="1:25" ht="12" customHeight="1">
      <c r="B219" s="153"/>
      <c r="C219" s="96" t="s">
        <v>440</v>
      </c>
      <c r="D219" s="97">
        <v>1</v>
      </c>
      <c r="E219" s="350">
        <v>1</v>
      </c>
      <c r="F219" s="339">
        <f t="shared" si="62"/>
        <v>0</v>
      </c>
      <c r="G219" s="372">
        <f>I528*M219</f>
        <v>0</v>
      </c>
      <c r="H219" s="308"/>
      <c r="I219" s="114"/>
      <c r="J219" s="39"/>
      <c r="K219" s="187">
        <f>+I219/$I$181</f>
        <v>0</v>
      </c>
      <c r="L219" s="188">
        <f>+L218+K219</f>
        <v>0.91331037954448524</v>
      </c>
      <c r="M219" s="189">
        <f t="shared" si="60"/>
        <v>0</v>
      </c>
      <c r="N219" s="190">
        <f>+N218+M219</f>
        <v>1.4217046080202229E-2</v>
      </c>
      <c r="O219" s="39"/>
      <c r="P219" s="262">
        <v>0</v>
      </c>
      <c r="Q219" s="510"/>
      <c r="R219" s="262">
        <v>0.7</v>
      </c>
      <c r="S219" s="510"/>
      <c r="T219" s="262">
        <v>1</v>
      </c>
      <c r="U219" s="521"/>
      <c r="V219" s="262">
        <v>1</v>
      </c>
      <c r="W219" s="510"/>
      <c r="X219" s="262">
        <v>1</v>
      </c>
      <c r="Y219" s="510"/>
    </row>
    <row r="220" spans="1:25" ht="12" customHeight="1">
      <c r="B220" s="86" t="s">
        <v>441</v>
      </c>
      <c r="C220" s="96" t="s">
        <v>1091</v>
      </c>
      <c r="D220" s="97">
        <v>4</v>
      </c>
      <c r="E220" s="350" t="s">
        <v>442</v>
      </c>
      <c r="F220" s="339">
        <f t="shared" si="62"/>
        <v>49.636035370547035</v>
      </c>
      <c r="G220" s="372">
        <f>I528*M220</f>
        <v>198.54414148218814</v>
      </c>
      <c r="H220" s="308">
        <v>203.58</v>
      </c>
      <c r="I220" s="114">
        <f>$D220*$H220</f>
        <v>814.32</v>
      </c>
      <c r="J220" s="39"/>
      <c r="K220" s="194">
        <f>+I220/$I$181</f>
        <v>5.2153262653083975E-2</v>
      </c>
      <c r="L220" s="195">
        <f>+L219+K220</f>
        <v>0.96546364219756919</v>
      </c>
      <c r="M220" s="196">
        <f t="shared" si="60"/>
        <v>8.118437663454473E-4</v>
      </c>
      <c r="N220" s="197">
        <f>+N219+M220</f>
        <v>1.5028889846547676E-2</v>
      </c>
      <c r="O220" s="39"/>
      <c r="P220" s="265">
        <v>0</v>
      </c>
      <c r="Q220" s="510"/>
      <c r="R220" s="262">
        <v>0.7</v>
      </c>
      <c r="S220" s="510"/>
      <c r="T220" s="262">
        <v>1</v>
      </c>
      <c r="U220" s="521"/>
      <c r="V220" s="262">
        <v>1</v>
      </c>
      <c r="W220" s="510"/>
      <c r="X220" s="262">
        <v>1</v>
      </c>
      <c r="Y220" s="510"/>
    </row>
    <row r="221" spans="1:25" ht="12" customHeight="1" thickBot="1">
      <c r="B221" s="215" t="s">
        <v>443</v>
      </c>
      <c r="C221" s="216" t="s">
        <v>1092</v>
      </c>
      <c r="D221" s="148">
        <v>3</v>
      </c>
      <c r="E221" s="360" t="s">
        <v>444</v>
      </c>
      <c r="F221" s="344">
        <f t="shared" si="62"/>
        <v>43.825903123370814</v>
      </c>
      <c r="G221" s="379">
        <f>I528*M221</f>
        <v>131.47770937011245</v>
      </c>
      <c r="H221" s="314">
        <v>179.75</v>
      </c>
      <c r="I221" s="149">
        <f>$D221*$H221</f>
        <v>539.25</v>
      </c>
      <c r="J221" s="39"/>
      <c r="K221" s="217">
        <f>+I221/$I$181</f>
        <v>3.4536357802430896E-2</v>
      </c>
      <c r="L221" s="116">
        <f>+L220+K221</f>
        <v>1</v>
      </c>
      <c r="M221" s="117">
        <f t="shared" si="60"/>
        <v>5.3761021588783582E-4</v>
      </c>
      <c r="N221" s="140">
        <f>+N220+M221</f>
        <v>1.5566500062435512E-2</v>
      </c>
      <c r="O221" s="39"/>
      <c r="P221" s="285">
        <v>0</v>
      </c>
      <c r="Q221" s="513"/>
      <c r="R221" s="286">
        <v>0.7</v>
      </c>
      <c r="S221" s="513"/>
      <c r="T221" s="271">
        <v>1</v>
      </c>
      <c r="U221" s="524"/>
      <c r="V221" s="286">
        <v>1</v>
      </c>
      <c r="W221" s="513"/>
      <c r="X221" s="286">
        <v>1</v>
      </c>
      <c r="Y221" s="513"/>
    </row>
    <row r="222" spans="1:25" s="6" customFormat="1" ht="12" customHeight="1">
      <c r="A222" s="291" t="s">
        <v>70</v>
      </c>
      <c r="B222" s="211" t="s">
        <v>445</v>
      </c>
      <c r="C222" s="212" t="s">
        <v>446</v>
      </c>
      <c r="D222" s="213"/>
      <c r="E222" s="364"/>
      <c r="F222" s="395">
        <f>+G222/D$3</f>
        <v>4.5179983336550507</v>
      </c>
      <c r="G222" s="384">
        <f>+G223+G283</f>
        <v>4160.2180456129072</v>
      </c>
      <c r="H222" s="320"/>
      <c r="I222" s="214">
        <f>+I223+I283</f>
        <v>17062.95</v>
      </c>
      <c r="J222" s="38"/>
      <c r="K222" s="554" t="str">
        <f>+C222</f>
        <v>Instalações de Água</v>
      </c>
      <c r="L222" s="555"/>
      <c r="M222" s="192">
        <f t="shared" si="60"/>
        <v>1.701106394656161E-2</v>
      </c>
      <c r="N222" s="193"/>
      <c r="O222" s="38"/>
      <c r="P222" s="268">
        <f>+P223+P229</f>
        <v>0</v>
      </c>
      <c r="Q222" s="298">
        <f>+P222/$M$222</f>
        <v>0</v>
      </c>
      <c r="R222" s="268">
        <f>+R223+R229</f>
        <v>0</v>
      </c>
      <c r="S222" s="298">
        <f>+R222/$M$222</f>
        <v>0</v>
      </c>
      <c r="T222" s="268">
        <f>+T223+T229</f>
        <v>0</v>
      </c>
      <c r="U222" s="301">
        <f>+T222/$M$222</f>
        <v>0</v>
      </c>
      <c r="V222" s="268">
        <f>+V223+V283</f>
        <v>9.2201173907881639E-3</v>
      </c>
      <c r="W222" s="298">
        <f>+V222/$M$222</f>
        <v>0.5420070972487171</v>
      </c>
      <c r="X222" s="268">
        <f>+X223+X283</f>
        <v>9.2201173907881639E-3</v>
      </c>
      <c r="Y222" s="298">
        <f>+X222/$M$222</f>
        <v>0.5420070972487171</v>
      </c>
    </row>
    <row r="223" spans="1:25" ht="12" customHeight="1">
      <c r="A223" s="291" t="s">
        <v>70</v>
      </c>
      <c r="B223" s="158"/>
      <c r="C223" s="159" t="s">
        <v>78</v>
      </c>
      <c r="D223" s="160"/>
      <c r="E223" s="359"/>
      <c r="F223" s="394">
        <f>+G223/D$3</f>
        <v>2.4487871621989159</v>
      </c>
      <c r="G223" s="377">
        <f>SUM(G224:G282)</f>
        <v>2254.8677068243837</v>
      </c>
      <c r="H223" s="313"/>
      <c r="I223" s="161">
        <f>SUM(I224:I282)</f>
        <v>9248.2400000000016</v>
      </c>
      <c r="J223" s="39"/>
      <c r="K223" s="552" t="str">
        <f>+C223</f>
        <v>Distribuição</v>
      </c>
      <c r="L223" s="553"/>
      <c r="M223" s="170">
        <f t="shared" si="60"/>
        <v>9.2201173907881673E-3</v>
      </c>
      <c r="N223" s="171"/>
      <c r="O223" s="39"/>
      <c r="P223" s="272">
        <f>SUMPRODUCT( P224:P282,$M$224:$M$282)</f>
        <v>0</v>
      </c>
      <c r="Q223" s="514">
        <f>+P223/$M$223</f>
        <v>0</v>
      </c>
      <c r="R223" s="272">
        <f>SUMPRODUCT( R224:R282,$M$224:$M$282)</f>
        <v>0</v>
      </c>
      <c r="S223" s="514">
        <f>+R223/$M$223</f>
        <v>0</v>
      </c>
      <c r="T223" s="272">
        <f>SUMPRODUCT( T224:T282,$M$224:$M$282)</f>
        <v>0</v>
      </c>
      <c r="U223" s="525">
        <f>+T223/$M$223</f>
        <v>0</v>
      </c>
      <c r="V223" s="272">
        <f>SUMPRODUCT( V224:V282,$M$224:$M$282)</f>
        <v>9.2201173907881639E-3</v>
      </c>
      <c r="W223" s="514">
        <f>+V223/$M$223</f>
        <v>0.99999999999999967</v>
      </c>
      <c r="X223" s="272">
        <f>SUMPRODUCT( X224:X282,$M$224:$M$282)</f>
        <v>9.2201173907881639E-3</v>
      </c>
      <c r="Y223" s="514">
        <f>+X223/$M$223</f>
        <v>0.99999999999999967</v>
      </c>
    </row>
    <row r="224" spans="1:25" ht="12" customHeight="1">
      <c r="B224" s="86" t="s">
        <v>447</v>
      </c>
      <c r="C224" s="96" t="s">
        <v>448</v>
      </c>
      <c r="D224" s="97">
        <v>196</v>
      </c>
      <c r="E224" s="350" t="s">
        <v>449</v>
      </c>
      <c r="F224" s="346">
        <f t="shared" si="62"/>
        <v>0.55590018982634459</v>
      </c>
      <c r="G224" s="372">
        <f>I528*M224</f>
        <v>108.95643720596354</v>
      </c>
      <c r="H224" s="308">
        <v>2.2799999999999998</v>
      </c>
      <c r="I224" s="114">
        <f t="shared" ref="I224:I255" si="63">$D224*$H224</f>
        <v>446.87999999999994</v>
      </c>
      <c r="J224" s="39"/>
      <c r="K224" s="23">
        <f>+I224/$I$223</f>
        <v>4.8320545314567948E-2</v>
      </c>
      <c r="L224" s="25">
        <f>+K224</f>
        <v>4.8320545314567948E-2</v>
      </c>
      <c r="M224" s="26">
        <f t="shared" si="60"/>
        <v>4.4552110018721567E-4</v>
      </c>
      <c r="N224" s="74">
        <f>+M224</f>
        <v>4.4552110018721567E-4</v>
      </c>
      <c r="O224" s="39"/>
      <c r="P224" s="257">
        <v>0</v>
      </c>
      <c r="Q224" s="510"/>
      <c r="R224" s="257">
        <v>0</v>
      </c>
      <c r="S224" s="510"/>
      <c r="T224" s="257">
        <v>0</v>
      </c>
      <c r="U224" s="521"/>
      <c r="V224" s="257">
        <v>1</v>
      </c>
      <c r="W224" s="510"/>
      <c r="X224" s="257">
        <v>1</v>
      </c>
      <c r="Y224" s="510"/>
    </row>
    <row r="225" spans="2:25" ht="12" customHeight="1">
      <c r="B225" s="86" t="s">
        <v>450</v>
      </c>
      <c r="C225" s="96" t="s">
        <v>451</v>
      </c>
      <c r="D225" s="97">
        <v>116</v>
      </c>
      <c r="E225" s="350" t="s">
        <v>452</v>
      </c>
      <c r="F225" s="339">
        <f t="shared" si="62"/>
        <v>0.96551085601417763</v>
      </c>
      <c r="G225" s="372">
        <f>I528*M225</f>
        <v>111.9992592976446</v>
      </c>
      <c r="H225" s="308">
        <v>3.96</v>
      </c>
      <c r="I225" s="114">
        <f t="shared" si="63"/>
        <v>459.36</v>
      </c>
      <c r="J225" s="39"/>
      <c r="K225" s="62">
        <f>+I225/$I$223</f>
        <v>4.9669991263202505E-2</v>
      </c>
      <c r="L225" s="63">
        <f>+L224+K225</f>
        <v>9.799053657777046E-2</v>
      </c>
      <c r="M225" s="64">
        <f t="shared" si="60"/>
        <v>4.5796315024614976E-4</v>
      </c>
      <c r="N225" s="75">
        <f>+N224+M225</f>
        <v>9.0348425043336542E-4</v>
      </c>
      <c r="O225" s="39"/>
      <c r="P225" s="258">
        <v>0</v>
      </c>
      <c r="Q225" s="510"/>
      <c r="R225" s="258">
        <v>0</v>
      </c>
      <c r="S225" s="510"/>
      <c r="T225" s="258">
        <v>0</v>
      </c>
      <c r="U225" s="521"/>
      <c r="V225" s="257">
        <v>1</v>
      </c>
      <c r="W225" s="510"/>
      <c r="X225" s="257">
        <v>1</v>
      </c>
      <c r="Y225" s="510"/>
    </row>
    <row r="226" spans="2:25" ht="12" customHeight="1">
      <c r="B226" s="86" t="s">
        <v>453</v>
      </c>
      <c r="C226" s="96" t="s">
        <v>454</v>
      </c>
      <c r="D226" s="97">
        <v>66</v>
      </c>
      <c r="E226" s="350" t="s">
        <v>455</v>
      </c>
      <c r="F226" s="339">
        <f t="shared" si="62"/>
        <v>1.6360045060240231</v>
      </c>
      <c r="G226" s="372">
        <f>I528*M226</f>
        <v>107.97629739758553</v>
      </c>
      <c r="H226" s="308">
        <v>6.71</v>
      </c>
      <c r="I226" s="114">
        <f t="shared" si="63"/>
        <v>442.86</v>
      </c>
      <c r="J226" s="39"/>
      <c r="K226" s="62">
        <f t="shared" ref="K226:K282" si="64">+I226/$I$223</f>
        <v>4.7885868013805864E-2</v>
      </c>
      <c r="L226" s="63">
        <f t="shared" ref="L226:L282" si="65">+L225+K226</f>
        <v>0.14587640459157633</v>
      </c>
      <c r="M226" s="64">
        <f t="shared" ref="M226:M285" si="66">+I226/$I$514</f>
        <v>4.4151332444707829E-4</v>
      </c>
      <c r="N226" s="75">
        <f t="shared" ref="N226:N282" si="67">+N225+M226</f>
        <v>1.3449975748804437E-3</v>
      </c>
      <c r="O226" s="39"/>
      <c r="P226" s="258">
        <v>0</v>
      </c>
      <c r="Q226" s="510"/>
      <c r="R226" s="258">
        <v>0</v>
      </c>
      <c r="S226" s="510"/>
      <c r="T226" s="258">
        <v>0</v>
      </c>
      <c r="U226" s="521"/>
      <c r="V226" s="257">
        <v>1</v>
      </c>
      <c r="W226" s="510"/>
      <c r="X226" s="257">
        <v>1</v>
      </c>
      <c r="Y226" s="510"/>
    </row>
    <row r="227" spans="2:25" ht="12" customHeight="1">
      <c r="B227" s="86" t="s">
        <v>456</v>
      </c>
      <c r="C227" s="96" t="s">
        <v>457</v>
      </c>
      <c r="D227" s="97">
        <v>48</v>
      </c>
      <c r="E227" s="350" t="s">
        <v>458</v>
      </c>
      <c r="F227" s="339">
        <f t="shared" si="62"/>
        <v>4.1594987887883503</v>
      </c>
      <c r="G227" s="372">
        <f>I528*M227</f>
        <v>199.6559418618408</v>
      </c>
      <c r="H227" s="308">
        <v>17.059999999999999</v>
      </c>
      <c r="I227" s="114">
        <f t="shared" si="63"/>
        <v>818.87999999999988</v>
      </c>
      <c r="J227" s="39"/>
      <c r="K227" s="62">
        <f t="shared" si="64"/>
        <v>8.8544414937328592E-2</v>
      </c>
      <c r="L227" s="63">
        <f t="shared" si="65"/>
        <v>0.23442081952890492</v>
      </c>
      <c r="M227" s="64">
        <f t="shared" si="66"/>
        <v>8.163899000208269E-4</v>
      </c>
      <c r="N227" s="75">
        <f t="shared" si="67"/>
        <v>2.1613874749012705E-3</v>
      </c>
      <c r="O227" s="39"/>
      <c r="P227" s="258">
        <v>0</v>
      </c>
      <c r="Q227" s="510"/>
      <c r="R227" s="258">
        <v>0</v>
      </c>
      <c r="S227" s="510"/>
      <c r="T227" s="258">
        <v>0</v>
      </c>
      <c r="U227" s="521"/>
      <c r="V227" s="257">
        <v>1</v>
      </c>
      <c r="W227" s="510"/>
      <c r="X227" s="257">
        <v>1</v>
      </c>
      <c r="Y227" s="510"/>
    </row>
    <row r="228" spans="2:25" ht="12" customHeight="1">
      <c r="B228" s="86" t="s">
        <v>459</v>
      </c>
      <c r="C228" s="96" t="s">
        <v>460</v>
      </c>
      <c r="D228" s="97">
        <v>24</v>
      </c>
      <c r="E228" s="350" t="s">
        <v>461</v>
      </c>
      <c r="F228" s="339">
        <f t="shared" si="62"/>
        <v>5.1591438669848486</v>
      </c>
      <c r="G228" s="372">
        <f>I528*M228</f>
        <v>123.81945280763637</v>
      </c>
      <c r="H228" s="308">
        <v>21.16</v>
      </c>
      <c r="I228" s="114">
        <f t="shared" si="63"/>
        <v>507.84000000000003</v>
      </c>
      <c r="J228" s="39"/>
      <c r="K228" s="62">
        <f t="shared" si="64"/>
        <v>5.4912069755975186E-2</v>
      </c>
      <c r="L228" s="63">
        <f t="shared" si="65"/>
        <v>0.2893328892848801</v>
      </c>
      <c r="M228" s="64">
        <f t="shared" si="66"/>
        <v>5.0629572932123982E-4</v>
      </c>
      <c r="N228" s="75">
        <f t="shared" si="67"/>
        <v>2.6676832042225101E-3</v>
      </c>
      <c r="O228" s="39"/>
      <c r="P228" s="258">
        <v>0</v>
      </c>
      <c r="Q228" s="510"/>
      <c r="R228" s="258">
        <v>0</v>
      </c>
      <c r="S228" s="510"/>
      <c r="T228" s="258">
        <v>0</v>
      </c>
      <c r="U228" s="521"/>
      <c r="V228" s="257">
        <v>1</v>
      </c>
      <c r="W228" s="510"/>
      <c r="X228" s="257">
        <v>1</v>
      </c>
      <c r="Y228" s="510"/>
    </row>
    <row r="229" spans="2:25" ht="12" customHeight="1">
      <c r="B229" s="86" t="s">
        <v>462</v>
      </c>
      <c r="C229" s="96" t="s">
        <v>492</v>
      </c>
      <c r="D229" s="97">
        <v>4</v>
      </c>
      <c r="E229" s="350" t="s">
        <v>493</v>
      </c>
      <c r="F229" s="339">
        <f t="shared" si="62"/>
        <v>2.3211271083977199</v>
      </c>
      <c r="G229" s="372">
        <f>I528*M229</f>
        <v>9.2845084335908794</v>
      </c>
      <c r="H229" s="308">
        <v>9.52</v>
      </c>
      <c r="I229" s="114">
        <f t="shared" si="63"/>
        <v>38.08</v>
      </c>
      <c r="J229" s="39"/>
      <c r="K229" s="62">
        <f t="shared" si="64"/>
        <v>4.1175402022438851E-3</v>
      </c>
      <c r="L229" s="63">
        <f t="shared" si="65"/>
        <v>0.29345042948712396</v>
      </c>
      <c r="M229" s="64">
        <f t="shared" si="66"/>
        <v>3.7964204025978279E-5</v>
      </c>
      <c r="N229" s="75">
        <f t="shared" si="67"/>
        <v>2.7056474082484882E-3</v>
      </c>
      <c r="O229" s="39"/>
      <c r="P229" s="258">
        <v>0</v>
      </c>
      <c r="Q229" s="510"/>
      <c r="R229" s="258">
        <v>0</v>
      </c>
      <c r="S229" s="510"/>
      <c r="T229" s="258">
        <v>0</v>
      </c>
      <c r="U229" s="521"/>
      <c r="V229" s="257">
        <v>1</v>
      </c>
      <c r="W229" s="510"/>
      <c r="X229" s="257">
        <v>1</v>
      </c>
      <c r="Y229" s="510"/>
    </row>
    <row r="230" spans="2:25" ht="12" customHeight="1">
      <c r="B230" s="86" t="s">
        <v>494</v>
      </c>
      <c r="C230" s="96" t="s">
        <v>495</v>
      </c>
      <c r="D230" s="97">
        <v>8</v>
      </c>
      <c r="E230" s="350" t="s">
        <v>496</v>
      </c>
      <c r="F230" s="339">
        <f t="shared" si="62"/>
        <v>3.8791105351478699</v>
      </c>
      <c r="G230" s="372">
        <f>I528*M230</f>
        <v>31.032884281182959</v>
      </c>
      <c r="H230" s="308">
        <v>15.91</v>
      </c>
      <c r="I230" s="114">
        <f t="shared" si="63"/>
        <v>127.28</v>
      </c>
      <c r="J230" s="39"/>
      <c r="K230" s="62">
        <f t="shared" si="64"/>
        <v>1.3762618617163913E-2</v>
      </c>
      <c r="L230" s="63">
        <f t="shared" si="65"/>
        <v>0.3072130481042879</v>
      </c>
      <c r="M230" s="64">
        <f t="shared" si="66"/>
        <v>1.2689295925489798E-4</v>
      </c>
      <c r="N230" s="75">
        <f t="shared" si="67"/>
        <v>2.8325403675033864E-3</v>
      </c>
      <c r="O230" s="39"/>
      <c r="P230" s="258">
        <v>0</v>
      </c>
      <c r="Q230" s="510"/>
      <c r="R230" s="258">
        <v>0</v>
      </c>
      <c r="S230" s="510"/>
      <c r="T230" s="258">
        <v>0</v>
      </c>
      <c r="U230" s="521"/>
      <c r="V230" s="257">
        <v>1</v>
      </c>
      <c r="W230" s="510"/>
      <c r="X230" s="257">
        <v>1</v>
      </c>
      <c r="Y230" s="510"/>
    </row>
    <row r="231" spans="2:25" ht="12" customHeight="1">
      <c r="B231" s="86" t="s">
        <v>497</v>
      </c>
      <c r="C231" s="96" t="s">
        <v>498</v>
      </c>
      <c r="D231" s="97">
        <v>1</v>
      </c>
      <c r="E231" s="350" t="s">
        <v>499</v>
      </c>
      <c r="F231" s="339">
        <f t="shared" si="62"/>
        <v>4.4325725662469058</v>
      </c>
      <c r="G231" s="372">
        <f>I528*M231</f>
        <v>4.4325725662469058</v>
      </c>
      <c r="H231" s="308">
        <v>18.18</v>
      </c>
      <c r="I231" s="114">
        <f t="shared" si="63"/>
        <v>18.18</v>
      </c>
      <c r="J231" s="39"/>
      <c r="K231" s="62">
        <f t="shared" si="64"/>
        <v>1.9657794347897541E-3</v>
      </c>
      <c r="L231" s="63">
        <f t="shared" si="65"/>
        <v>0.30917882753907766</v>
      </c>
      <c r="M231" s="64">
        <f t="shared" si="66"/>
        <v>1.8124717153158749E-5</v>
      </c>
      <c r="N231" s="75">
        <f t="shared" si="67"/>
        <v>2.8506650846565453E-3</v>
      </c>
      <c r="O231" s="39"/>
      <c r="P231" s="258">
        <v>0</v>
      </c>
      <c r="Q231" s="510"/>
      <c r="R231" s="258">
        <v>0</v>
      </c>
      <c r="S231" s="510"/>
      <c r="T231" s="258">
        <v>0</v>
      </c>
      <c r="U231" s="521"/>
      <c r="V231" s="257">
        <v>1</v>
      </c>
      <c r="W231" s="510"/>
      <c r="X231" s="257">
        <v>1</v>
      </c>
      <c r="Y231" s="510"/>
    </row>
    <row r="232" spans="2:25" ht="12" customHeight="1">
      <c r="B232" s="86" t="s">
        <v>500</v>
      </c>
      <c r="C232" s="96" t="s">
        <v>501</v>
      </c>
      <c r="D232" s="97">
        <v>3</v>
      </c>
      <c r="E232" s="350" t="s">
        <v>502</v>
      </c>
      <c r="F232" s="339">
        <f t="shared" si="62"/>
        <v>17.24509667825323</v>
      </c>
      <c r="G232" s="372">
        <f>I528*M232</f>
        <v>51.735290034759686</v>
      </c>
      <c r="H232" s="308">
        <v>70.73</v>
      </c>
      <c r="I232" s="114">
        <f t="shared" si="63"/>
        <v>212.19</v>
      </c>
      <c r="J232" s="39"/>
      <c r="K232" s="62">
        <f t="shared" si="64"/>
        <v>2.2943824987240811E-2</v>
      </c>
      <c r="L232" s="63">
        <f t="shared" si="65"/>
        <v>0.33212265252631845</v>
      </c>
      <c r="M232" s="64">
        <f t="shared" si="66"/>
        <v>2.1154475977605913E-4</v>
      </c>
      <c r="N232" s="75">
        <f t="shared" si="67"/>
        <v>3.0622098444326043E-3</v>
      </c>
      <c r="O232" s="39"/>
      <c r="P232" s="258">
        <v>0</v>
      </c>
      <c r="Q232" s="510"/>
      <c r="R232" s="258">
        <v>0</v>
      </c>
      <c r="S232" s="510"/>
      <c r="T232" s="258">
        <v>0</v>
      </c>
      <c r="U232" s="521"/>
      <c r="V232" s="257">
        <v>1</v>
      </c>
      <c r="W232" s="510"/>
      <c r="X232" s="257">
        <v>1</v>
      </c>
      <c r="Y232" s="510"/>
    </row>
    <row r="233" spans="2:25" ht="12" customHeight="1">
      <c r="B233" s="86" t="s">
        <v>503</v>
      </c>
      <c r="C233" s="96" t="s">
        <v>504</v>
      </c>
      <c r="D233" s="97">
        <v>16</v>
      </c>
      <c r="E233" s="350" t="s">
        <v>505</v>
      </c>
      <c r="F233" s="339">
        <f t="shared" si="62"/>
        <v>0.35109485673242818</v>
      </c>
      <c r="G233" s="372">
        <f>I528*M233</f>
        <v>5.617517707718851</v>
      </c>
      <c r="H233" s="308">
        <v>1.44</v>
      </c>
      <c r="I233" s="114">
        <f t="shared" si="63"/>
        <v>23.04</v>
      </c>
      <c r="J233" s="39"/>
      <c r="K233" s="62">
        <f t="shared" si="64"/>
        <v>2.4912848282484011E-3</v>
      </c>
      <c r="L233" s="63">
        <f t="shared" si="65"/>
        <v>0.33461393735456685</v>
      </c>
      <c r="M233" s="64">
        <f t="shared" si="66"/>
        <v>2.2969938570339798E-5</v>
      </c>
      <c r="N233" s="75">
        <f t="shared" si="67"/>
        <v>3.0851797830029441E-3</v>
      </c>
      <c r="O233" s="39"/>
      <c r="P233" s="258">
        <v>0</v>
      </c>
      <c r="Q233" s="510"/>
      <c r="R233" s="258">
        <v>0</v>
      </c>
      <c r="S233" s="510"/>
      <c r="T233" s="258">
        <v>0</v>
      </c>
      <c r="U233" s="521"/>
      <c r="V233" s="257">
        <v>1</v>
      </c>
      <c r="W233" s="510"/>
      <c r="X233" s="257">
        <v>1</v>
      </c>
      <c r="Y233" s="510"/>
    </row>
    <row r="234" spans="2:25" ht="12" customHeight="1">
      <c r="B234" s="86" t="s">
        <v>506</v>
      </c>
      <c r="C234" s="96" t="s">
        <v>507</v>
      </c>
      <c r="D234" s="97">
        <v>8</v>
      </c>
      <c r="E234" s="350" t="s">
        <v>508</v>
      </c>
      <c r="F234" s="339">
        <f t="shared" si="62"/>
        <v>0.42667777727899259</v>
      </c>
      <c r="G234" s="372">
        <f>I528*M234</f>
        <v>3.4134222182319407</v>
      </c>
      <c r="H234" s="308">
        <v>1.75</v>
      </c>
      <c r="I234" s="114">
        <f t="shared" si="63"/>
        <v>14</v>
      </c>
      <c r="J234" s="39"/>
      <c r="K234" s="62">
        <f t="shared" si="64"/>
        <v>1.5138015449426051E-3</v>
      </c>
      <c r="L234" s="63">
        <f t="shared" si="65"/>
        <v>0.33612773889950948</v>
      </c>
      <c r="M234" s="64">
        <f t="shared" si="66"/>
        <v>1.3957427950727309E-5</v>
      </c>
      <c r="N234" s="75">
        <f t="shared" si="67"/>
        <v>3.0991372109536713E-3</v>
      </c>
      <c r="O234" s="39"/>
      <c r="P234" s="258">
        <v>0</v>
      </c>
      <c r="Q234" s="510"/>
      <c r="R234" s="258">
        <v>0</v>
      </c>
      <c r="S234" s="510"/>
      <c r="T234" s="258">
        <v>0</v>
      </c>
      <c r="U234" s="521"/>
      <c r="V234" s="257">
        <v>1</v>
      </c>
      <c r="W234" s="510"/>
      <c r="X234" s="257">
        <v>1</v>
      </c>
      <c r="Y234" s="510"/>
    </row>
    <row r="235" spans="2:25" ht="12" customHeight="1">
      <c r="B235" s="86" t="s">
        <v>509</v>
      </c>
      <c r="C235" s="96" t="s">
        <v>510</v>
      </c>
      <c r="D235" s="97">
        <v>35</v>
      </c>
      <c r="E235" s="350" t="s">
        <v>511</v>
      </c>
      <c r="F235" s="339">
        <f t="shared" si="62"/>
        <v>0.76801999910218677</v>
      </c>
      <c r="G235" s="372">
        <f>I528*M235</f>
        <v>26.880699968576536</v>
      </c>
      <c r="H235" s="308">
        <v>3.15</v>
      </c>
      <c r="I235" s="114">
        <f t="shared" si="63"/>
        <v>110.25</v>
      </c>
      <c r="J235" s="39"/>
      <c r="K235" s="62">
        <f t="shared" si="64"/>
        <v>1.1921187166423014E-2</v>
      </c>
      <c r="L235" s="63">
        <f t="shared" si="65"/>
        <v>0.34804892606593252</v>
      </c>
      <c r="M235" s="64">
        <f t="shared" si="66"/>
        <v>1.0991474511197756E-4</v>
      </c>
      <c r="N235" s="75">
        <f t="shared" si="67"/>
        <v>3.2090519560656486E-3</v>
      </c>
      <c r="O235" s="39"/>
      <c r="P235" s="258">
        <v>0</v>
      </c>
      <c r="Q235" s="510"/>
      <c r="R235" s="258">
        <v>0</v>
      </c>
      <c r="S235" s="510"/>
      <c r="T235" s="258">
        <v>0</v>
      </c>
      <c r="U235" s="521"/>
      <c r="V235" s="257">
        <v>1</v>
      </c>
      <c r="W235" s="510"/>
      <c r="X235" s="257">
        <v>1</v>
      </c>
      <c r="Y235" s="510"/>
    </row>
    <row r="236" spans="2:25" ht="12" customHeight="1">
      <c r="B236" s="86" t="s">
        <v>512</v>
      </c>
      <c r="C236" s="96" t="s">
        <v>513</v>
      </c>
      <c r="D236" s="97">
        <v>2</v>
      </c>
      <c r="E236" s="350" t="s">
        <v>514</v>
      </c>
      <c r="F236" s="339">
        <f t="shared" si="62"/>
        <v>2.3942718702169756</v>
      </c>
      <c r="G236" s="372">
        <f>I528*M236</f>
        <v>4.7885437404339513</v>
      </c>
      <c r="H236" s="308">
        <v>9.82</v>
      </c>
      <c r="I236" s="114">
        <f t="shared" si="63"/>
        <v>19.64</v>
      </c>
      <c r="J236" s="39"/>
      <c r="K236" s="62">
        <f t="shared" si="64"/>
        <v>2.1236473101909118E-3</v>
      </c>
      <c r="L236" s="63">
        <f t="shared" si="65"/>
        <v>0.35017257337612345</v>
      </c>
      <c r="M236" s="64">
        <f t="shared" si="66"/>
        <v>1.9580277496591741E-5</v>
      </c>
      <c r="N236" s="75">
        <f t="shared" si="67"/>
        <v>3.2286322335622402E-3</v>
      </c>
      <c r="O236" s="39"/>
      <c r="P236" s="258">
        <v>0</v>
      </c>
      <c r="Q236" s="510"/>
      <c r="R236" s="258">
        <v>0</v>
      </c>
      <c r="S236" s="510"/>
      <c r="T236" s="258">
        <v>0</v>
      </c>
      <c r="U236" s="521"/>
      <c r="V236" s="257">
        <v>1</v>
      </c>
      <c r="W236" s="510"/>
      <c r="X236" s="257">
        <v>1</v>
      </c>
      <c r="Y236" s="510"/>
    </row>
    <row r="237" spans="2:25" ht="12" customHeight="1">
      <c r="B237" s="86" t="s">
        <v>515</v>
      </c>
      <c r="C237" s="96" t="s">
        <v>516</v>
      </c>
      <c r="D237" s="97">
        <v>6</v>
      </c>
      <c r="E237" s="350" t="s">
        <v>517</v>
      </c>
      <c r="F237" s="339">
        <f t="shared" si="62"/>
        <v>2.9843062822256399</v>
      </c>
      <c r="G237" s="372">
        <f>I528*M237</f>
        <v>17.905837693353838</v>
      </c>
      <c r="H237" s="308">
        <v>12.24</v>
      </c>
      <c r="I237" s="114">
        <f t="shared" si="63"/>
        <v>73.44</v>
      </c>
      <c r="J237" s="39"/>
      <c r="K237" s="62">
        <f t="shared" si="64"/>
        <v>7.9409703900417787E-3</v>
      </c>
      <c r="L237" s="63">
        <f t="shared" si="65"/>
        <v>0.35811354376616522</v>
      </c>
      <c r="M237" s="64">
        <f t="shared" si="66"/>
        <v>7.3216679192958113E-5</v>
      </c>
      <c r="N237" s="75">
        <f t="shared" si="67"/>
        <v>3.3018489127551983E-3</v>
      </c>
      <c r="O237" s="39"/>
      <c r="P237" s="258">
        <v>0</v>
      </c>
      <c r="Q237" s="510"/>
      <c r="R237" s="258">
        <v>0</v>
      </c>
      <c r="S237" s="510"/>
      <c r="T237" s="258">
        <v>0</v>
      </c>
      <c r="U237" s="521"/>
      <c r="V237" s="257">
        <v>1</v>
      </c>
      <c r="W237" s="510"/>
      <c r="X237" s="257">
        <v>1</v>
      </c>
      <c r="Y237" s="510"/>
    </row>
    <row r="238" spans="2:25" ht="12" customHeight="1">
      <c r="B238" s="86" t="s">
        <v>518</v>
      </c>
      <c r="C238" s="96" t="s">
        <v>519</v>
      </c>
      <c r="D238" s="97">
        <v>7</v>
      </c>
      <c r="E238" s="350" t="s">
        <v>520</v>
      </c>
      <c r="F238" s="339">
        <f t="shared" si="62"/>
        <v>0.67536996746446254</v>
      </c>
      <c r="G238" s="372">
        <f>I528*M238</f>
        <v>4.7275897722512381</v>
      </c>
      <c r="H238" s="308">
        <v>2.77</v>
      </c>
      <c r="I238" s="114">
        <f t="shared" si="63"/>
        <v>19.39</v>
      </c>
      <c r="J238" s="39"/>
      <c r="K238" s="62">
        <f t="shared" si="64"/>
        <v>2.0966151397455082E-3</v>
      </c>
      <c r="L238" s="63">
        <f t="shared" si="65"/>
        <v>0.36021015890591074</v>
      </c>
      <c r="M238" s="64">
        <f t="shared" si="66"/>
        <v>1.9331037711757323E-5</v>
      </c>
      <c r="N238" s="75">
        <f t="shared" si="67"/>
        <v>3.3211799504669556E-3</v>
      </c>
      <c r="O238" s="39"/>
      <c r="P238" s="258">
        <v>0</v>
      </c>
      <c r="Q238" s="510"/>
      <c r="R238" s="258">
        <v>0</v>
      </c>
      <c r="S238" s="510"/>
      <c r="T238" s="258">
        <v>0</v>
      </c>
      <c r="U238" s="521"/>
      <c r="V238" s="257">
        <v>1</v>
      </c>
      <c r="W238" s="510"/>
      <c r="X238" s="257">
        <v>1</v>
      </c>
      <c r="Y238" s="510"/>
    </row>
    <row r="239" spans="2:25" ht="12" customHeight="1">
      <c r="B239" s="86" t="s">
        <v>521</v>
      </c>
      <c r="C239" s="96" t="s">
        <v>522</v>
      </c>
      <c r="D239" s="97">
        <v>1</v>
      </c>
      <c r="E239" s="350" t="s">
        <v>523</v>
      </c>
      <c r="F239" s="339">
        <f t="shared" si="62"/>
        <v>0.94112926874109226</v>
      </c>
      <c r="G239" s="372">
        <f>I528*M239</f>
        <v>0.94112926874109226</v>
      </c>
      <c r="H239" s="308">
        <v>3.86</v>
      </c>
      <c r="I239" s="114">
        <f t="shared" si="63"/>
        <v>3.86</v>
      </c>
      <c r="J239" s="39"/>
      <c r="K239" s="62">
        <f t="shared" si="64"/>
        <v>4.1737671167703253E-4</v>
      </c>
      <c r="L239" s="63">
        <f t="shared" si="65"/>
        <v>0.36062753561758776</v>
      </c>
      <c r="M239" s="64">
        <f t="shared" si="66"/>
        <v>3.8482622778433868E-6</v>
      </c>
      <c r="N239" s="75">
        <f t="shared" si="67"/>
        <v>3.325028212744799E-3</v>
      </c>
      <c r="O239" s="39"/>
      <c r="P239" s="258">
        <v>0</v>
      </c>
      <c r="Q239" s="510"/>
      <c r="R239" s="258">
        <v>0</v>
      </c>
      <c r="S239" s="510"/>
      <c r="T239" s="258">
        <v>0</v>
      </c>
      <c r="U239" s="521"/>
      <c r="V239" s="257">
        <v>1</v>
      </c>
      <c r="W239" s="510"/>
      <c r="X239" s="257">
        <v>1</v>
      </c>
      <c r="Y239" s="510"/>
    </row>
    <row r="240" spans="2:25" ht="12" customHeight="1">
      <c r="B240" s="86" t="s">
        <v>524</v>
      </c>
      <c r="C240" s="96" t="s">
        <v>525</v>
      </c>
      <c r="D240" s="97">
        <v>5</v>
      </c>
      <c r="E240" s="350" t="s">
        <v>526</v>
      </c>
      <c r="F240" s="339">
        <f t="shared" si="62"/>
        <v>1.3336728238377653</v>
      </c>
      <c r="G240" s="372">
        <f>I528*M240</f>
        <v>6.6683641191888263</v>
      </c>
      <c r="H240" s="308">
        <v>5.47</v>
      </c>
      <c r="I240" s="114">
        <f t="shared" si="63"/>
        <v>27.349999999999998</v>
      </c>
      <c r="J240" s="39"/>
      <c r="K240" s="62">
        <f t="shared" si="64"/>
        <v>2.9573194467271604E-3</v>
      </c>
      <c r="L240" s="63">
        <f t="shared" si="65"/>
        <v>0.36358485506431493</v>
      </c>
      <c r="M240" s="64">
        <f t="shared" si="66"/>
        <v>2.7266832460885133E-5</v>
      </c>
      <c r="N240" s="75">
        <f t="shared" si="67"/>
        <v>3.3522950452056842E-3</v>
      </c>
      <c r="O240" s="39"/>
      <c r="P240" s="258">
        <v>0</v>
      </c>
      <c r="Q240" s="510"/>
      <c r="R240" s="258">
        <v>0</v>
      </c>
      <c r="S240" s="510"/>
      <c r="T240" s="258">
        <v>0</v>
      </c>
      <c r="U240" s="521"/>
      <c r="V240" s="257">
        <v>1</v>
      </c>
      <c r="W240" s="510"/>
      <c r="X240" s="257">
        <v>1</v>
      </c>
      <c r="Y240" s="510"/>
    </row>
    <row r="241" spans="2:25" ht="12" customHeight="1">
      <c r="B241" s="86" t="s">
        <v>527</v>
      </c>
      <c r="C241" s="96" t="s">
        <v>528</v>
      </c>
      <c r="D241" s="97">
        <v>8</v>
      </c>
      <c r="E241" s="350" t="s">
        <v>529</v>
      </c>
      <c r="F241" s="339">
        <f t="shared" si="62"/>
        <v>1.8773822200275676</v>
      </c>
      <c r="G241" s="372">
        <f>I528*M241</f>
        <v>15.019057760220541</v>
      </c>
      <c r="H241" s="308">
        <v>7.7</v>
      </c>
      <c r="I241" s="114">
        <f t="shared" si="63"/>
        <v>61.6</v>
      </c>
      <c r="J241" s="39"/>
      <c r="K241" s="62">
        <f t="shared" si="64"/>
        <v>6.6607267977474623E-3</v>
      </c>
      <c r="L241" s="63">
        <f t="shared" si="65"/>
        <v>0.37024558186206241</v>
      </c>
      <c r="M241" s="64">
        <f t="shared" si="66"/>
        <v>6.1412682983200161E-5</v>
      </c>
      <c r="N241" s="75">
        <f t="shared" si="67"/>
        <v>3.4137077281888844E-3</v>
      </c>
      <c r="O241" s="39"/>
      <c r="P241" s="258">
        <v>0</v>
      </c>
      <c r="Q241" s="510"/>
      <c r="R241" s="258">
        <v>0</v>
      </c>
      <c r="S241" s="510"/>
      <c r="T241" s="258">
        <v>0</v>
      </c>
      <c r="U241" s="521"/>
      <c r="V241" s="257">
        <v>1</v>
      </c>
      <c r="W241" s="510"/>
      <c r="X241" s="257">
        <v>1</v>
      </c>
      <c r="Y241" s="510"/>
    </row>
    <row r="242" spans="2:25" ht="12" customHeight="1">
      <c r="B242" s="86" t="s">
        <v>530</v>
      </c>
      <c r="C242" s="96" t="s">
        <v>531</v>
      </c>
      <c r="D242" s="97">
        <v>4</v>
      </c>
      <c r="E242" s="350" t="s">
        <v>532</v>
      </c>
      <c r="F242" s="339">
        <f t="shared" si="62"/>
        <v>1.8042374582083116</v>
      </c>
      <c r="G242" s="372">
        <f>I528*M242</f>
        <v>7.2169498328332464</v>
      </c>
      <c r="H242" s="308">
        <v>7.4</v>
      </c>
      <c r="I242" s="114">
        <f t="shared" si="63"/>
        <v>29.6</v>
      </c>
      <c r="J242" s="39"/>
      <c r="K242" s="62">
        <f t="shared" si="64"/>
        <v>3.2006089807357935E-3</v>
      </c>
      <c r="L242" s="63">
        <f t="shared" si="65"/>
        <v>0.37344619084279823</v>
      </c>
      <c r="M242" s="64">
        <f t="shared" si="66"/>
        <v>2.9509990524394882E-5</v>
      </c>
      <c r="N242" s="75">
        <f t="shared" si="67"/>
        <v>3.4432177187132791E-3</v>
      </c>
      <c r="O242" s="39"/>
      <c r="P242" s="258">
        <v>0</v>
      </c>
      <c r="Q242" s="510"/>
      <c r="R242" s="258">
        <v>0</v>
      </c>
      <c r="S242" s="510"/>
      <c r="T242" s="258">
        <v>0</v>
      </c>
      <c r="U242" s="521"/>
      <c r="V242" s="257">
        <v>1</v>
      </c>
      <c r="W242" s="510"/>
      <c r="X242" s="257">
        <v>1</v>
      </c>
      <c r="Y242" s="510"/>
    </row>
    <row r="243" spans="2:25" ht="12" customHeight="1">
      <c r="B243" s="86" t="s">
        <v>533</v>
      </c>
      <c r="C243" s="96" t="s">
        <v>534</v>
      </c>
      <c r="D243" s="97">
        <v>2</v>
      </c>
      <c r="E243" s="350" t="s">
        <v>535</v>
      </c>
      <c r="F243" s="339">
        <f t="shared" si="62"/>
        <v>0.72413314201063317</v>
      </c>
      <c r="G243" s="372">
        <f>I528*M243</f>
        <v>1.4482662840212663</v>
      </c>
      <c r="H243" s="308">
        <v>2.97</v>
      </c>
      <c r="I243" s="114">
        <f t="shared" si="63"/>
        <v>5.94</v>
      </c>
      <c r="J243" s="39"/>
      <c r="K243" s="62">
        <f t="shared" si="64"/>
        <v>6.42284369782791E-4</v>
      </c>
      <c r="L243" s="63">
        <f t="shared" si="65"/>
        <v>0.37408847521258104</v>
      </c>
      <c r="M243" s="64">
        <f t="shared" si="66"/>
        <v>5.92193728766573E-6</v>
      </c>
      <c r="N243" s="75">
        <f t="shared" si="67"/>
        <v>3.4491396560009449E-3</v>
      </c>
      <c r="O243" s="39"/>
      <c r="P243" s="258">
        <v>0</v>
      </c>
      <c r="Q243" s="510"/>
      <c r="R243" s="258">
        <v>0</v>
      </c>
      <c r="S243" s="510"/>
      <c r="T243" s="258">
        <v>0</v>
      </c>
      <c r="U243" s="521"/>
      <c r="V243" s="257">
        <v>1</v>
      </c>
      <c r="W243" s="510"/>
      <c r="X243" s="257">
        <v>1</v>
      </c>
      <c r="Y243" s="510"/>
    </row>
    <row r="244" spans="2:25" ht="12" customHeight="1">
      <c r="B244" s="86" t="s">
        <v>536</v>
      </c>
      <c r="C244" s="96" t="s">
        <v>537</v>
      </c>
      <c r="D244" s="97">
        <v>1</v>
      </c>
      <c r="E244" s="350" t="s">
        <v>538</v>
      </c>
      <c r="F244" s="339">
        <f t="shared" si="62"/>
        <v>0.91430952274069843</v>
      </c>
      <c r="G244" s="372">
        <f>I528*M244</f>
        <v>0.91430952274069843</v>
      </c>
      <c r="H244" s="308">
        <v>3.75</v>
      </c>
      <c r="I244" s="114">
        <f t="shared" si="63"/>
        <v>3.75</v>
      </c>
      <c r="J244" s="39"/>
      <c r="K244" s="62">
        <f t="shared" si="64"/>
        <v>4.0548255668105491E-4</v>
      </c>
      <c r="L244" s="63">
        <f t="shared" si="65"/>
        <v>0.37449395776926209</v>
      </c>
      <c r="M244" s="64">
        <f t="shared" si="66"/>
        <v>3.7385967725162435E-6</v>
      </c>
      <c r="N244" s="75">
        <f t="shared" si="67"/>
        <v>3.452878252773461E-3</v>
      </c>
      <c r="O244" s="39"/>
      <c r="P244" s="258">
        <v>0</v>
      </c>
      <c r="Q244" s="510"/>
      <c r="R244" s="258">
        <v>0</v>
      </c>
      <c r="S244" s="510"/>
      <c r="T244" s="258">
        <v>0</v>
      </c>
      <c r="U244" s="521"/>
      <c r="V244" s="257">
        <v>1</v>
      </c>
      <c r="W244" s="510"/>
      <c r="X244" s="257">
        <v>1</v>
      </c>
      <c r="Y244" s="510"/>
    </row>
    <row r="245" spans="2:25" ht="12" customHeight="1">
      <c r="B245" s="86" t="s">
        <v>539</v>
      </c>
      <c r="C245" s="96" t="s">
        <v>540</v>
      </c>
      <c r="D245" s="97">
        <v>31</v>
      </c>
      <c r="E245" s="350" t="s">
        <v>541</v>
      </c>
      <c r="F245" s="339">
        <f t="shared" si="62"/>
        <v>0.7070660309194734</v>
      </c>
      <c r="G245" s="372">
        <f>I528*M245</f>
        <v>21.919046958503674</v>
      </c>
      <c r="H245" s="308">
        <v>2.9</v>
      </c>
      <c r="I245" s="114">
        <f t="shared" si="63"/>
        <v>89.899999999999991</v>
      </c>
      <c r="J245" s="39"/>
      <c r="K245" s="62">
        <f t="shared" si="64"/>
        <v>9.7207684921671554E-3</v>
      </c>
      <c r="L245" s="63">
        <f t="shared" si="65"/>
        <v>0.38421472626142922</v>
      </c>
      <c r="M245" s="64">
        <f t="shared" si="66"/>
        <v>8.9626626626456072E-5</v>
      </c>
      <c r="N245" s="75">
        <f t="shared" si="67"/>
        <v>3.5425048793999172E-3</v>
      </c>
      <c r="O245" s="39"/>
      <c r="P245" s="258">
        <v>0</v>
      </c>
      <c r="Q245" s="510"/>
      <c r="R245" s="258">
        <v>0</v>
      </c>
      <c r="S245" s="510"/>
      <c r="T245" s="258">
        <v>0</v>
      </c>
      <c r="U245" s="521"/>
      <c r="V245" s="257">
        <v>1</v>
      </c>
      <c r="W245" s="510"/>
      <c r="X245" s="257">
        <v>1</v>
      </c>
      <c r="Y245" s="510"/>
    </row>
    <row r="246" spans="2:25" ht="12" customHeight="1">
      <c r="B246" s="86" t="s">
        <v>542</v>
      </c>
      <c r="C246" s="96" t="s">
        <v>543</v>
      </c>
      <c r="D246" s="97">
        <v>35</v>
      </c>
      <c r="E246" s="350" t="s">
        <v>544</v>
      </c>
      <c r="F246" s="339">
        <f t="shared" si="62"/>
        <v>0.7728963165568038</v>
      </c>
      <c r="G246" s="372">
        <f>I528*M246</f>
        <v>27.051371079488131</v>
      </c>
      <c r="H246" s="308">
        <v>3.17</v>
      </c>
      <c r="I246" s="114">
        <f t="shared" si="63"/>
        <v>110.95</v>
      </c>
      <c r="J246" s="39"/>
      <c r="K246" s="62">
        <f t="shared" si="64"/>
        <v>1.1996877243670144E-2</v>
      </c>
      <c r="L246" s="63">
        <f t="shared" si="65"/>
        <v>0.39621160350509937</v>
      </c>
      <c r="M246" s="64">
        <f t="shared" si="66"/>
        <v>1.1061261650951392E-4</v>
      </c>
      <c r="N246" s="75">
        <f t="shared" si="67"/>
        <v>3.6531174959094311E-3</v>
      </c>
      <c r="O246" s="39"/>
      <c r="P246" s="258">
        <v>0</v>
      </c>
      <c r="Q246" s="510"/>
      <c r="R246" s="258">
        <v>0</v>
      </c>
      <c r="S246" s="510"/>
      <c r="T246" s="258">
        <v>0</v>
      </c>
      <c r="U246" s="521"/>
      <c r="V246" s="257">
        <v>1</v>
      </c>
      <c r="W246" s="510"/>
      <c r="X246" s="257">
        <v>1</v>
      </c>
      <c r="Y246" s="510"/>
    </row>
    <row r="247" spans="2:25" ht="12" customHeight="1">
      <c r="B247" s="86" t="s">
        <v>545</v>
      </c>
      <c r="C247" s="96" t="s">
        <v>546</v>
      </c>
      <c r="D247" s="97">
        <v>26</v>
      </c>
      <c r="E247" s="350" t="s">
        <v>547</v>
      </c>
      <c r="F247" s="339">
        <f t="shared" si="62"/>
        <v>1.7579124423894497</v>
      </c>
      <c r="G247" s="372">
        <f>I528*M247</f>
        <v>45.705723502125693</v>
      </c>
      <c r="H247" s="308">
        <v>7.21</v>
      </c>
      <c r="I247" s="114">
        <f t="shared" si="63"/>
        <v>187.46</v>
      </c>
      <c r="J247" s="39"/>
      <c r="K247" s="62">
        <f t="shared" si="64"/>
        <v>2.0269802686781482E-2</v>
      </c>
      <c r="L247" s="63">
        <f t="shared" si="65"/>
        <v>0.41648140619188084</v>
      </c>
      <c r="M247" s="64">
        <f t="shared" si="66"/>
        <v>1.8688996026023868E-4</v>
      </c>
      <c r="N247" s="75">
        <f t="shared" si="67"/>
        <v>3.8400074561696696E-3</v>
      </c>
      <c r="O247" s="39"/>
      <c r="P247" s="258">
        <v>0</v>
      </c>
      <c r="Q247" s="510"/>
      <c r="R247" s="258">
        <v>0</v>
      </c>
      <c r="S247" s="510"/>
      <c r="T247" s="258">
        <v>0</v>
      </c>
      <c r="U247" s="521"/>
      <c r="V247" s="257">
        <v>1</v>
      </c>
      <c r="W247" s="510"/>
      <c r="X247" s="257">
        <v>1</v>
      </c>
      <c r="Y247" s="510"/>
    </row>
    <row r="248" spans="2:25" ht="12" customHeight="1">
      <c r="B248" s="86" t="s">
        <v>548</v>
      </c>
      <c r="C248" s="96" t="s">
        <v>549</v>
      </c>
      <c r="D248" s="97">
        <v>14</v>
      </c>
      <c r="E248" s="350" t="s">
        <v>550</v>
      </c>
      <c r="F248" s="339">
        <f t="shared" si="62"/>
        <v>7.8630618955700067</v>
      </c>
      <c r="G248" s="372">
        <f>I528*M248</f>
        <v>110.0828665379801</v>
      </c>
      <c r="H248" s="308">
        <v>32.25</v>
      </c>
      <c r="I248" s="114">
        <f t="shared" si="63"/>
        <v>451.5</v>
      </c>
      <c r="J248" s="39"/>
      <c r="K248" s="62">
        <f t="shared" si="64"/>
        <v>4.8820099824399013E-2</v>
      </c>
      <c r="L248" s="63">
        <f t="shared" si="65"/>
        <v>0.46530150601627984</v>
      </c>
      <c r="M248" s="64">
        <f t="shared" si="66"/>
        <v>4.5012705141095572E-4</v>
      </c>
      <c r="N248" s="75">
        <f t="shared" si="67"/>
        <v>4.2901345075806252E-3</v>
      </c>
      <c r="O248" s="39"/>
      <c r="P248" s="258">
        <v>0</v>
      </c>
      <c r="Q248" s="510"/>
      <c r="R248" s="258">
        <v>0</v>
      </c>
      <c r="S248" s="510"/>
      <c r="T248" s="258">
        <v>0</v>
      </c>
      <c r="U248" s="521"/>
      <c r="V248" s="257">
        <v>1</v>
      </c>
      <c r="W248" s="510"/>
      <c r="X248" s="257">
        <v>1</v>
      </c>
      <c r="Y248" s="510"/>
    </row>
    <row r="249" spans="2:25" ht="12" customHeight="1">
      <c r="B249" s="86" t="s">
        <v>551</v>
      </c>
      <c r="C249" s="96" t="s">
        <v>552</v>
      </c>
      <c r="D249" s="97">
        <v>7</v>
      </c>
      <c r="E249" s="350" t="s">
        <v>553</v>
      </c>
      <c r="F249" s="339">
        <f t="shared" si="62"/>
        <v>8.9846149101319295</v>
      </c>
      <c r="G249" s="372">
        <f>I528*M249</f>
        <v>62.892304370923505</v>
      </c>
      <c r="H249" s="308">
        <v>36.85</v>
      </c>
      <c r="I249" s="114">
        <f t="shared" si="63"/>
        <v>257.95</v>
      </c>
      <c r="J249" s="39"/>
      <c r="K249" s="62">
        <f t="shared" si="64"/>
        <v>2.7891793465567496E-2</v>
      </c>
      <c r="L249" s="63">
        <f t="shared" si="65"/>
        <v>0.49319329948184731</v>
      </c>
      <c r="M249" s="64">
        <f t="shared" si="66"/>
        <v>2.5716560999215066E-4</v>
      </c>
      <c r="N249" s="75">
        <f t="shared" si="67"/>
        <v>4.5473001175727759E-3</v>
      </c>
      <c r="O249" s="39"/>
      <c r="P249" s="258">
        <v>0</v>
      </c>
      <c r="Q249" s="510"/>
      <c r="R249" s="258">
        <v>0</v>
      </c>
      <c r="S249" s="510"/>
      <c r="T249" s="258">
        <v>0</v>
      </c>
      <c r="U249" s="521"/>
      <c r="V249" s="257">
        <v>1</v>
      </c>
      <c r="W249" s="510"/>
      <c r="X249" s="257">
        <v>1</v>
      </c>
      <c r="Y249" s="510"/>
    </row>
    <row r="250" spans="2:25" ht="12" customHeight="1">
      <c r="B250" s="86" t="s">
        <v>554</v>
      </c>
      <c r="C250" s="96" t="s">
        <v>555</v>
      </c>
      <c r="D250" s="97">
        <v>22</v>
      </c>
      <c r="E250" s="350" t="s">
        <v>556</v>
      </c>
      <c r="F250" s="339">
        <f t="shared" si="62"/>
        <v>0.9313766338318582</v>
      </c>
      <c r="G250" s="372">
        <f>I528*M250</f>
        <v>20.490285944300879</v>
      </c>
      <c r="H250" s="308">
        <v>3.82</v>
      </c>
      <c r="I250" s="114">
        <f t="shared" si="63"/>
        <v>84.039999999999992</v>
      </c>
      <c r="J250" s="39"/>
      <c r="K250" s="62">
        <f t="shared" si="64"/>
        <v>9.0871344169268942E-3</v>
      </c>
      <c r="L250" s="63">
        <f t="shared" si="65"/>
        <v>0.50228043389877419</v>
      </c>
      <c r="M250" s="64">
        <f t="shared" si="66"/>
        <v>8.3784446069937358E-5</v>
      </c>
      <c r="N250" s="75">
        <f t="shared" si="67"/>
        <v>4.631084563642713E-3</v>
      </c>
      <c r="O250" s="39"/>
      <c r="P250" s="258">
        <v>0</v>
      </c>
      <c r="Q250" s="510"/>
      <c r="R250" s="258">
        <v>0</v>
      </c>
      <c r="S250" s="510"/>
      <c r="T250" s="258">
        <v>0</v>
      </c>
      <c r="U250" s="521"/>
      <c r="V250" s="257">
        <v>1</v>
      </c>
      <c r="W250" s="510"/>
      <c r="X250" s="257">
        <v>1</v>
      </c>
      <c r="Y250" s="510"/>
    </row>
    <row r="251" spans="2:25" ht="12" customHeight="1">
      <c r="B251" s="86" t="s">
        <v>557</v>
      </c>
      <c r="C251" s="96" t="s">
        <v>558</v>
      </c>
      <c r="D251" s="97">
        <v>4</v>
      </c>
      <c r="E251" s="350" t="s">
        <v>559</v>
      </c>
      <c r="F251" s="339">
        <f t="shared" si="62"/>
        <v>1.170316189108094</v>
      </c>
      <c r="G251" s="372">
        <f>I528*M251</f>
        <v>4.6812647564323759</v>
      </c>
      <c r="H251" s="308">
        <v>4.8</v>
      </c>
      <c r="I251" s="114">
        <f t="shared" si="63"/>
        <v>19.2</v>
      </c>
      <c r="J251" s="39"/>
      <c r="K251" s="62">
        <f t="shared" si="64"/>
        <v>2.0760706902070011E-3</v>
      </c>
      <c r="L251" s="63">
        <f t="shared" si="65"/>
        <v>0.50435650458898118</v>
      </c>
      <c r="M251" s="64">
        <f t="shared" si="66"/>
        <v>1.9141615475283168E-5</v>
      </c>
      <c r="N251" s="75">
        <f t="shared" si="67"/>
        <v>4.650226179117996E-3</v>
      </c>
      <c r="O251" s="39"/>
      <c r="P251" s="258">
        <v>0</v>
      </c>
      <c r="Q251" s="510"/>
      <c r="R251" s="258">
        <v>0</v>
      </c>
      <c r="S251" s="510"/>
      <c r="T251" s="258">
        <v>0</v>
      </c>
      <c r="U251" s="521"/>
      <c r="V251" s="257">
        <v>1</v>
      </c>
      <c r="W251" s="510"/>
      <c r="X251" s="257">
        <v>1</v>
      </c>
      <c r="Y251" s="510"/>
    </row>
    <row r="252" spans="2:25" ht="12" customHeight="1">
      <c r="B252" s="86" t="s">
        <v>560</v>
      </c>
      <c r="C252" s="96" t="s">
        <v>561</v>
      </c>
      <c r="D252" s="97">
        <v>5</v>
      </c>
      <c r="E252" s="350" t="s">
        <v>562</v>
      </c>
      <c r="F252" s="339">
        <f t="shared" si="62"/>
        <v>0.95575822110494335</v>
      </c>
      <c r="G252" s="372">
        <f>I528*M252</f>
        <v>4.778791105524717</v>
      </c>
      <c r="H252" s="308">
        <v>3.92</v>
      </c>
      <c r="I252" s="114">
        <f t="shared" si="63"/>
        <v>19.600000000000001</v>
      </c>
      <c r="J252" s="39"/>
      <c r="K252" s="62">
        <f t="shared" si="64"/>
        <v>2.1193221629196473E-3</v>
      </c>
      <c r="L252" s="63">
        <f t="shared" si="65"/>
        <v>0.50647582675190084</v>
      </c>
      <c r="M252" s="64">
        <f t="shared" si="66"/>
        <v>1.9540399131018234E-5</v>
      </c>
      <c r="N252" s="75">
        <f t="shared" si="67"/>
        <v>4.6697665782490143E-3</v>
      </c>
      <c r="O252" s="39"/>
      <c r="P252" s="258">
        <v>0</v>
      </c>
      <c r="Q252" s="510"/>
      <c r="R252" s="258">
        <v>0</v>
      </c>
      <c r="S252" s="510"/>
      <c r="T252" s="258">
        <v>0</v>
      </c>
      <c r="U252" s="521"/>
      <c r="V252" s="257">
        <v>1</v>
      </c>
      <c r="W252" s="510"/>
      <c r="X252" s="257">
        <v>1</v>
      </c>
      <c r="Y252" s="510"/>
    </row>
    <row r="253" spans="2:25" ht="12" customHeight="1">
      <c r="B253" s="86" t="s">
        <v>563</v>
      </c>
      <c r="C253" s="96" t="s">
        <v>564</v>
      </c>
      <c r="D253" s="97">
        <v>14</v>
      </c>
      <c r="E253" s="350" t="s">
        <v>565</v>
      </c>
      <c r="F253" s="339">
        <f t="shared" si="62"/>
        <v>0.75339104673833557</v>
      </c>
      <c r="G253" s="372">
        <f>I528*M253</f>
        <v>10.547474654336698</v>
      </c>
      <c r="H253" s="308">
        <v>3.09</v>
      </c>
      <c r="I253" s="114">
        <f t="shared" si="63"/>
        <v>43.26</v>
      </c>
      <c r="J253" s="39"/>
      <c r="K253" s="62">
        <f t="shared" si="64"/>
        <v>4.6776467738726497E-3</v>
      </c>
      <c r="L253" s="63">
        <f t="shared" si="65"/>
        <v>0.51115347352577345</v>
      </c>
      <c r="M253" s="64">
        <f t="shared" si="66"/>
        <v>4.3128452367747385E-5</v>
      </c>
      <c r="N253" s="75">
        <f t="shared" si="67"/>
        <v>4.7128950306167617E-3</v>
      </c>
      <c r="O253" s="39"/>
      <c r="P253" s="258">
        <v>0</v>
      </c>
      <c r="Q253" s="510"/>
      <c r="R253" s="258">
        <v>0</v>
      </c>
      <c r="S253" s="510"/>
      <c r="T253" s="258">
        <v>0</v>
      </c>
      <c r="U253" s="521"/>
      <c r="V253" s="257">
        <v>1</v>
      </c>
      <c r="W253" s="510"/>
      <c r="X253" s="257">
        <v>1</v>
      </c>
      <c r="Y253" s="510"/>
    </row>
    <row r="254" spans="2:25" ht="12" customHeight="1">
      <c r="B254" s="86" t="s">
        <v>566</v>
      </c>
      <c r="C254" s="96" t="s">
        <v>567</v>
      </c>
      <c r="D254" s="97">
        <v>3</v>
      </c>
      <c r="E254" s="350" t="s">
        <v>568</v>
      </c>
      <c r="F254" s="339">
        <f t="shared" si="62"/>
        <v>0.95819637983225203</v>
      </c>
      <c r="G254" s="372">
        <f>I528*M254</f>
        <v>2.8745891394967562</v>
      </c>
      <c r="H254" s="308">
        <v>3.93</v>
      </c>
      <c r="I254" s="114">
        <f t="shared" si="63"/>
        <v>11.790000000000001</v>
      </c>
      <c r="J254" s="39"/>
      <c r="K254" s="62">
        <f t="shared" si="64"/>
        <v>1.2748371582052367E-3</v>
      </c>
      <c r="L254" s="63">
        <f t="shared" si="65"/>
        <v>0.51242831068397865</v>
      </c>
      <c r="M254" s="64">
        <f t="shared" si="66"/>
        <v>1.175414825279107E-5</v>
      </c>
      <c r="N254" s="75">
        <f t="shared" si="67"/>
        <v>4.7246491788695529E-3</v>
      </c>
      <c r="O254" s="39"/>
      <c r="P254" s="258">
        <v>0</v>
      </c>
      <c r="Q254" s="510"/>
      <c r="R254" s="258">
        <v>0</v>
      </c>
      <c r="S254" s="510"/>
      <c r="T254" s="258">
        <v>0</v>
      </c>
      <c r="U254" s="521"/>
      <c r="V254" s="257">
        <v>1</v>
      </c>
      <c r="W254" s="510"/>
      <c r="X254" s="257">
        <v>1</v>
      </c>
      <c r="Y254" s="510"/>
    </row>
    <row r="255" spans="2:25" ht="12" customHeight="1">
      <c r="B255" s="86" t="s">
        <v>569</v>
      </c>
      <c r="C255" s="96" t="s">
        <v>570</v>
      </c>
      <c r="D255" s="97">
        <v>10</v>
      </c>
      <c r="E255" s="350" t="s">
        <v>571</v>
      </c>
      <c r="F255" s="339">
        <f t="shared" si="62"/>
        <v>1.7115874265705873</v>
      </c>
      <c r="G255" s="372">
        <f>I528*M255</f>
        <v>17.115874265705873</v>
      </c>
      <c r="H255" s="308">
        <v>7.02</v>
      </c>
      <c r="I255" s="114">
        <f t="shared" si="63"/>
        <v>70.199999999999989</v>
      </c>
      <c r="J255" s="39"/>
      <c r="K255" s="62">
        <f t="shared" si="64"/>
        <v>7.590633461069347E-3</v>
      </c>
      <c r="L255" s="63">
        <f t="shared" si="65"/>
        <v>0.52001894414504801</v>
      </c>
      <c r="M255" s="64">
        <f t="shared" si="66"/>
        <v>6.9986531581504066E-5</v>
      </c>
      <c r="N255" s="75">
        <f t="shared" si="67"/>
        <v>4.7946357104510567E-3</v>
      </c>
      <c r="O255" s="39"/>
      <c r="P255" s="258">
        <v>0</v>
      </c>
      <c r="Q255" s="510"/>
      <c r="R255" s="258">
        <v>0</v>
      </c>
      <c r="S255" s="510"/>
      <c r="T255" s="258">
        <v>0</v>
      </c>
      <c r="U255" s="521"/>
      <c r="V255" s="257">
        <v>1</v>
      </c>
      <c r="W255" s="510"/>
      <c r="X255" s="257">
        <v>1</v>
      </c>
      <c r="Y255" s="510"/>
    </row>
    <row r="256" spans="2:25" ht="12" customHeight="1">
      <c r="B256" s="86" t="s">
        <v>572</v>
      </c>
      <c r="C256" s="96" t="s">
        <v>591</v>
      </c>
      <c r="D256" s="97">
        <v>3</v>
      </c>
      <c r="E256" s="350" t="s">
        <v>592</v>
      </c>
      <c r="F256" s="339">
        <f t="shared" si="62"/>
        <v>6.0246902151793753</v>
      </c>
      <c r="G256" s="372">
        <f>I528*M256</f>
        <v>18.074070645538125</v>
      </c>
      <c r="H256" s="308">
        <v>24.71</v>
      </c>
      <c r="I256" s="114">
        <f t="shared" ref="I256:I282" si="68">$D256*$H256</f>
        <v>74.13</v>
      </c>
      <c r="J256" s="39"/>
      <c r="K256" s="62">
        <f t="shared" si="64"/>
        <v>8.015579180471093E-3</v>
      </c>
      <c r="L256" s="63">
        <f t="shared" si="65"/>
        <v>0.52803452332551915</v>
      </c>
      <c r="M256" s="64">
        <f t="shared" si="66"/>
        <v>7.39045809991011E-5</v>
      </c>
      <c r="N256" s="75">
        <f t="shared" si="67"/>
        <v>4.8685402914501576E-3</v>
      </c>
      <c r="O256" s="39"/>
      <c r="P256" s="258">
        <v>0</v>
      </c>
      <c r="Q256" s="510"/>
      <c r="R256" s="258">
        <v>0</v>
      </c>
      <c r="S256" s="510"/>
      <c r="T256" s="258">
        <v>0</v>
      </c>
      <c r="U256" s="521"/>
      <c r="V256" s="257">
        <v>1</v>
      </c>
      <c r="W256" s="510"/>
      <c r="X256" s="257">
        <v>1</v>
      </c>
      <c r="Y256" s="510"/>
    </row>
    <row r="257" spans="2:25" ht="12" customHeight="1">
      <c r="B257" s="86" t="s">
        <v>593</v>
      </c>
      <c r="C257" s="96" t="s">
        <v>594</v>
      </c>
      <c r="D257" s="97">
        <v>5</v>
      </c>
      <c r="E257" s="350" t="s">
        <v>595</v>
      </c>
      <c r="F257" s="339">
        <f t="shared" si="62"/>
        <v>7.3803064675629173</v>
      </c>
      <c r="G257" s="372">
        <f>I528*M257</f>
        <v>36.901532337814587</v>
      </c>
      <c r="H257" s="308">
        <v>30.27</v>
      </c>
      <c r="I257" s="114">
        <f t="shared" si="68"/>
        <v>151.35</v>
      </c>
      <c r="J257" s="39"/>
      <c r="K257" s="62">
        <f t="shared" si="64"/>
        <v>1.6365275987647376E-2</v>
      </c>
      <c r="L257" s="63">
        <f t="shared" si="65"/>
        <v>0.54439979931316651</v>
      </c>
      <c r="M257" s="64">
        <f t="shared" si="66"/>
        <v>1.5088976573875558E-4</v>
      </c>
      <c r="N257" s="75">
        <f t="shared" si="67"/>
        <v>5.0194300571889134E-3</v>
      </c>
      <c r="O257" s="39"/>
      <c r="P257" s="258">
        <v>0</v>
      </c>
      <c r="Q257" s="510"/>
      <c r="R257" s="258">
        <v>0</v>
      </c>
      <c r="S257" s="510"/>
      <c r="T257" s="258">
        <v>0</v>
      </c>
      <c r="U257" s="521"/>
      <c r="V257" s="257">
        <v>1</v>
      </c>
      <c r="W257" s="510"/>
      <c r="X257" s="257">
        <v>1</v>
      </c>
      <c r="Y257" s="510"/>
    </row>
    <row r="258" spans="2:25" ht="12" customHeight="1">
      <c r="B258" s="86" t="s">
        <v>596</v>
      </c>
      <c r="C258" s="96" t="s">
        <v>597</v>
      </c>
      <c r="D258" s="97">
        <v>33</v>
      </c>
      <c r="E258" s="350" t="s">
        <v>598</v>
      </c>
      <c r="F258" s="339">
        <f t="shared" si="62"/>
        <v>0.3218369520047259</v>
      </c>
      <c r="G258" s="372">
        <f>I528*M258</f>
        <v>10.620619416155954</v>
      </c>
      <c r="H258" s="308">
        <v>1.32</v>
      </c>
      <c r="I258" s="114">
        <f t="shared" si="68"/>
        <v>43.56</v>
      </c>
      <c r="J258" s="39"/>
      <c r="K258" s="62">
        <f t="shared" si="64"/>
        <v>4.7100853784071339E-3</v>
      </c>
      <c r="L258" s="63">
        <f t="shared" si="65"/>
        <v>0.54910988469157362</v>
      </c>
      <c r="M258" s="64">
        <f t="shared" si="66"/>
        <v>4.3427540109548689E-5</v>
      </c>
      <c r="N258" s="75">
        <f t="shared" si="67"/>
        <v>5.062857597298462E-3</v>
      </c>
      <c r="O258" s="39"/>
      <c r="P258" s="258">
        <v>0</v>
      </c>
      <c r="Q258" s="510"/>
      <c r="R258" s="258">
        <v>0</v>
      </c>
      <c r="S258" s="510"/>
      <c r="T258" s="258">
        <v>0</v>
      </c>
      <c r="U258" s="521"/>
      <c r="V258" s="257">
        <v>1</v>
      </c>
      <c r="W258" s="510"/>
      <c r="X258" s="257">
        <v>1</v>
      </c>
      <c r="Y258" s="510"/>
    </row>
    <row r="259" spans="2:25" ht="12" customHeight="1">
      <c r="B259" s="86" t="s">
        <v>599</v>
      </c>
      <c r="C259" s="96" t="s">
        <v>600</v>
      </c>
      <c r="D259" s="97">
        <v>20</v>
      </c>
      <c r="E259" s="350" t="s">
        <v>601</v>
      </c>
      <c r="F259" s="339">
        <f t="shared" si="62"/>
        <v>0.4486212058247695</v>
      </c>
      <c r="G259" s="372">
        <f>I528*M259</f>
        <v>8.9724241164953895</v>
      </c>
      <c r="H259" s="308">
        <v>1.84</v>
      </c>
      <c r="I259" s="114">
        <f t="shared" si="68"/>
        <v>36.800000000000004</v>
      </c>
      <c r="J259" s="39"/>
      <c r="K259" s="62">
        <f t="shared" si="64"/>
        <v>3.9791354895634193E-3</v>
      </c>
      <c r="L259" s="63">
        <f t="shared" si="65"/>
        <v>0.55308902018113704</v>
      </c>
      <c r="M259" s="64">
        <f t="shared" si="66"/>
        <v>3.6688096327626077E-5</v>
      </c>
      <c r="N259" s="75">
        <f t="shared" si="67"/>
        <v>5.0995456936260885E-3</v>
      </c>
      <c r="O259" s="39"/>
      <c r="P259" s="258">
        <v>0</v>
      </c>
      <c r="Q259" s="510"/>
      <c r="R259" s="258">
        <v>0</v>
      </c>
      <c r="S259" s="510"/>
      <c r="T259" s="258">
        <v>0</v>
      </c>
      <c r="U259" s="521"/>
      <c r="V259" s="257">
        <v>1</v>
      </c>
      <c r="W259" s="510"/>
      <c r="X259" s="257">
        <v>1</v>
      </c>
      <c r="Y259" s="510"/>
    </row>
    <row r="260" spans="2:25" ht="12" customHeight="1">
      <c r="B260" s="86" t="s">
        <v>602</v>
      </c>
      <c r="C260" s="96" t="s">
        <v>603</v>
      </c>
      <c r="D260" s="97">
        <v>11</v>
      </c>
      <c r="E260" s="350" t="s">
        <v>604</v>
      </c>
      <c r="F260" s="339">
        <f t="shared" si="62"/>
        <v>0.9240621576499326</v>
      </c>
      <c r="G260" s="372">
        <f>I528*M260</f>
        <v>10.164683734149259</v>
      </c>
      <c r="H260" s="308">
        <v>3.79</v>
      </c>
      <c r="I260" s="114">
        <f t="shared" si="68"/>
        <v>41.69</v>
      </c>
      <c r="J260" s="39"/>
      <c r="K260" s="62">
        <f t="shared" si="64"/>
        <v>4.507884743475514E-3</v>
      </c>
      <c r="L260" s="63">
        <f t="shared" si="65"/>
        <v>0.55759690492461256</v>
      </c>
      <c r="M260" s="64">
        <f t="shared" si="66"/>
        <v>4.1563226518987251E-5</v>
      </c>
      <c r="N260" s="75">
        <f t="shared" si="67"/>
        <v>5.1411089201450757E-3</v>
      </c>
      <c r="O260" s="39"/>
      <c r="P260" s="258">
        <v>0</v>
      </c>
      <c r="Q260" s="510"/>
      <c r="R260" s="258">
        <v>0</v>
      </c>
      <c r="S260" s="510"/>
      <c r="T260" s="258">
        <v>0</v>
      </c>
      <c r="U260" s="521"/>
      <c r="V260" s="257">
        <v>1</v>
      </c>
      <c r="W260" s="510"/>
      <c r="X260" s="257">
        <v>1</v>
      </c>
      <c r="Y260" s="510"/>
    </row>
    <row r="261" spans="2:25" ht="12" customHeight="1">
      <c r="B261" s="86" t="s">
        <v>605</v>
      </c>
      <c r="C261" s="96" t="s">
        <v>606</v>
      </c>
      <c r="D261" s="97">
        <v>8</v>
      </c>
      <c r="E261" s="350" t="s">
        <v>607</v>
      </c>
      <c r="F261" s="339">
        <f t="shared" si="62"/>
        <v>2.2162862831234529</v>
      </c>
      <c r="G261" s="372">
        <f>I528*M261</f>
        <v>17.730290264987623</v>
      </c>
      <c r="H261" s="308">
        <v>9.09</v>
      </c>
      <c r="I261" s="114">
        <f t="shared" si="68"/>
        <v>72.72</v>
      </c>
      <c r="J261" s="39"/>
      <c r="K261" s="62">
        <f t="shared" si="64"/>
        <v>7.8631177391590163E-3</v>
      </c>
      <c r="L261" s="63">
        <f t="shared" si="65"/>
        <v>0.5654600226637716</v>
      </c>
      <c r="M261" s="64">
        <f t="shared" si="66"/>
        <v>7.2498868612634994E-5</v>
      </c>
      <c r="N261" s="75">
        <f t="shared" si="67"/>
        <v>5.2136077887577105E-3</v>
      </c>
      <c r="O261" s="39"/>
      <c r="P261" s="258">
        <v>0</v>
      </c>
      <c r="Q261" s="510"/>
      <c r="R261" s="258">
        <v>0</v>
      </c>
      <c r="S261" s="510"/>
      <c r="T261" s="258">
        <v>0</v>
      </c>
      <c r="U261" s="521"/>
      <c r="V261" s="257">
        <v>1</v>
      </c>
      <c r="W261" s="510"/>
      <c r="X261" s="257">
        <v>1</v>
      </c>
      <c r="Y261" s="510"/>
    </row>
    <row r="262" spans="2:25" ht="12" customHeight="1">
      <c r="B262" s="86" t="s">
        <v>608</v>
      </c>
      <c r="C262" s="96" t="s">
        <v>609</v>
      </c>
      <c r="D262" s="97">
        <v>4</v>
      </c>
      <c r="E262" s="350" t="s">
        <v>610</v>
      </c>
      <c r="F262" s="339">
        <f t="shared" si="62"/>
        <v>4.6617594866139074</v>
      </c>
      <c r="G262" s="372">
        <f>I528*M262</f>
        <v>18.64703794645563</v>
      </c>
      <c r="H262" s="308">
        <v>19.12</v>
      </c>
      <c r="I262" s="114">
        <f t="shared" si="68"/>
        <v>76.48</v>
      </c>
      <c r="J262" s="39"/>
      <c r="K262" s="62">
        <f t="shared" si="64"/>
        <v>8.2696815826578882E-3</v>
      </c>
      <c r="L262" s="63">
        <f t="shared" si="65"/>
        <v>0.57372970424642944</v>
      </c>
      <c r="M262" s="64">
        <f t="shared" si="66"/>
        <v>7.6247434976544614E-5</v>
      </c>
      <c r="N262" s="75">
        <f t="shared" si="67"/>
        <v>5.2898552237342555E-3</v>
      </c>
      <c r="O262" s="39"/>
      <c r="P262" s="258">
        <v>0</v>
      </c>
      <c r="Q262" s="510"/>
      <c r="R262" s="258">
        <v>0</v>
      </c>
      <c r="S262" s="510"/>
      <c r="T262" s="258">
        <v>0</v>
      </c>
      <c r="U262" s="521"/>
      <c r="V262" s="257">
        <v>1</v>
      </c>
      <c r="W262" s="510"/>
      <c r="X262" s="257">
        <v>1</v>
      </c>
      <c r="Y262" s="510"/>
    </row>
    <row r="263" spans="2:25" ht="12" customHeight="1">
      <c r="B263" s="86" t="s">
        <v>611</v>
      </c>
      <c r="C263" s="96" t="s">
        <v>612</v>
      </c>
      <c r="D263" s="97">
        <v>1</v>
      </c>
      <c r="E263" s="350" t="s">
        <v>613</v>
      </c>
      <c r="F263" s="339">
        <f t="shared" ref="F263:F326" si="69">+G263/D263</f>
        <v>0.96307269728686906</v>
      </c>
      <c r="G263" s="372">
        <f>I528*M263</f>
        <v>0.96307269728686906</v>
      </c>
      <c r="H263" s="308">
        <v>3.95</v>
      </c>
      <c r="I263" s="114">
        <f t="shared" si="68"/>
        <v>3.95</v>
      </c>
      <c r="J263" s="39"/>
      <c r="K263" s="62">
        <f t="shared" si="64"/>
        <v>4.2710829303737788E-4</v>
      </c>
      <c r="L263" s="63">
        <f t="shared" si="65"/>
        <v>0.57415681253946682</v>
      </c>
      <c r="M263" s="64">
        <f t="shared" si="66"/>
        <v>3.9379886003837766E-6</v>
      </c>
      <c r="N263" s="75">
        <f t="shared" si="67"/>
        <v>5.2937932123346392E-3</v>
      </c>
      <c r="O263" s="39"/>
      <c r="P263" s="258">
        <v>0</v>
      </c>
      <c r="Q263" s="510"/>
      <c r="R263" s="258">
        <v>0</v>
      </c>
      <c r="S263" s="510"/>
      <c r="T263" s="258">
        <v>0</v>
      </c>
      <c r="U263" s="521"/>
      <c r="V263" s="257">
        <v>1</v>
      </c>
      <c r="W263" s="510"/>
      <c r="X263" s="257">
        <v>1</v>
      </c>
      <c r="Y263" s="510"/>
    </row>
    <row r="264" spans="2:25" ht="12" customHeight="1">
      <c r="B264" s="86" t="s">
        <v>614</v>
      </c>
      <c r="C264" s="96" t="s">
        <v>615</v>
      </c>
      <c r="D264" s="97">
        <v>7</v>
      </c>
      <c r="E264" s="350" t="s">
        <v>616</v>
      </c>
      <c r="F264" s="339">
        <f t="shared" si="69"/>
        <v>1.5652979029320755</v>
      </c>
      <c r="G264" s="372">
        <f>I528*M264</f>
        <v>10.957085320524529</v>
      </c>
      <c r="H264" s="308">
        <v>6.42</v>
      </c>
      <c r="I264" s="114">
        <f t="shared" si="68"/>
        <v>44.94</v>
      </c>
      <c r="J264" s="39"/>
      <c r="K264" s="62">
        <f t="shared" si="64"/>
        <v>4.8593029592657617E-3</v>
      </c>
      <c r="L264" s="63">
        <f t="shared" si="65"/>
        <v>0.57901611549873255</v>
      </c>
      <c r="M264" s="64">
        <f t="shared" si="66"/>
        <v>4.4803343721834657E-5</v>
      </c>
      <c r="N264" s="75">
        <f t="shared" si="67"/>
        <v>5.3385965560564736E-3</v>
      </c>
      <c r="O264" s="39"/>
      <c r="P264" s="258">
        <v>0</v>
      </c>
      <c r="Q264" s="510"/>
      <c r="R264" s="258">
        <v>0</v>
      </c>
      <c r="S264" s="510"/>
      <c r="T264" s="258">
        <v>0</v>
      </c>
      <c r="U264" s="521"/>
      <c r="V264" s="257">
        <v>1</v>
      </c>
      <c r="W264" s="510"/>
      <c r="X264" s="257">
        <v>1</v>
      </c>
      <c r="Y264" s="510"/>
    </row>
    <row r="265" spans="2:25" ht="12" customHeight="1">
      <c r="B265" s="86" t="s">
        <v>617</v>
      </c>
      <c r="C265" s="96" t="s">
        <v>618</v>
      </c>
      <c r="D265" s="97">
        <v>1</v>
      </c>
      <c r="E265" s="350" t="s">
        <v>619</v>
      </c>
      <c r="F265" s="339">
        <f t="shared" si="69"/>
        <v>4.8031726927978022</v>
      </c>
      <c r="G265" s="372">
        <f>I528*M265</f>
        <v>4.8031726927978022</v>
      </c>
      <c r="H265" s="308">
        <v>19.7</v>
      </c>
      <c r="I265" s="114">
        <f t="shared" si="68"/>
        <v>19.7</v>
      </c>
      <c r="J265" s="39"/>
      <c r="K265" s="62">
        <f t="shared" si="64"/>
        <v>2.1301350310978084E-3</v>
      </c>
      <c r="L265" s="63">
        <f t="shared" si="65"/>
        <v>0.58114625052983038</v>
      </c>
      <c r="M265" s="64">
        <f t="shared" si="66"/>
        <v>1.9640095044951999E-5</v>
      </c>
      <c r="N265" s="75">
        <f t="shared" si="67"/>
        <v>5.358236651101426E-3</v>
      </c>
      <c r="O265" s="39"/>
      <c r="P265" s="258">
        <v>0</v>
      </c>
      <c r="Q265" s="510"/>
      <c r="R265" s="258">
        <v>0</v>
      </c>
      <c r="S265" s="510"/>
      <c r="T265" s="258">
        <v>0</v>
      </c>
      <c r="U265" s="521"/>
      <c r="V265" s="257">
        <v>1</v>
      </c>
      <c r="W265" s="510"/>
      <c r="X265" s="257">
        <v>1</v>
      </c>
      <c r="Y265" s="510"/>
    </row>
    <row r="266" spans="2:25" ht="12" customHeight="1">
      <c r="B266" s="86" t="s">
        <v>620</v>
      </c>
      <c r="C266" s="96" t="s">
        <v>621</v>
      </c>
      <c r="D266" s="97">
        <v>5</v>
      </c>
      <c r="E266" s="350" t="s">
        <v>622</v>
      </c>
      <c r="F266" s="339">
        <f t="shared" si="69"/>
        <v>6.9121799919196807</v>
      </c>
      <c r="G266" s="372">
        <f>I528*M266</f>
        <v>34.560899959598402</v>
      </c>
      <c r="H266" s="308">
        <v>28.35</v>
      </c>
      <c r="I266" s="114">
        <f t="shared" si="68"/>
        <v>141.75</v>
      </c>
      <c r="J266" s="39"/>
      <c r="K266" s="62">
        <f t="shared" si="64"/>
        <v>1.5327240642543876E-2</v>
      </c>
      <c r="L266" s="63">
        <f t="shared" si="65"/>
        <v>0.59647349117237425</v>
      </c>
      <c r="M266" s="64">
        <f t="shared" si="66"/>
        <v>1.4131895800111402E-4</v>
      </c>
      <c r="N266" s="75">
        <f t="shared" si="67"/>
        <v>5.4995556091025398E-3</v>
      </c>
      <c r="O266" s="39"/>
      <c r="P266" s="258">
        <v>0</v>
      </c>
      <c r="Q266" s="510"/>
      <c r="R266" s="258">
        <v>0</v>
      </c>
      <c r="S266" s="510"/>
      <c r="T266" s="258">
        <v>0</v>
      </c>
      <c r="U266" s="521"/>
      <c r="V266" s="257">
        <v>1</v>
      </c>
      <c r="W266" s="510"/>
      <c r="X266" s="257">
        <v>1</v>
      </c>
      <c r="Y266" s="510"/>
    </row>
    <row r="267" spans="2:25" ht="12" customHeight="1">
      <c r="B267" s="86" t="s">
        <v>623</v>
      </c>
      <c r="C267" s="96" t="s">
        <v>624</v>
      </c>
      <c r="D267" s="97">
        <v>2</v>
      </c>
      <c r="E267" s="350" t="s">
        <v>625</v>
      </c>
      <c r="F267" s="339">
        <f t="shared" si="69"/>
        <v>2.1358270451222716</v>
      </c>
      <c r="G267" s="372">
        <f>I528*M267</f>
        <v>4.2716540902445432</v>
      </c>
      <c r="H267" s="308">
        <v>8.76</v>
      </c>
      <c r="I267" s="114">
        <f t="shared" si="68"/>
        <v>17.52</v>
      </c>
      <c r="J267" s="39"/>
      <c r="K267" s="62">
        <f t="shared" si="64"/>
        <v>1.8944145048138885E-3</v>
      </c>
      <c r="L267" s="63">
        <f t="shared" si="65"/>
        <v>0.59836790567718812</v>
      </c>
      <c r="M267" s="64">
        <f t="shared" si="66"/>
        <v>1.7466724121195889E-5</v>
      </c>
      <c r="N267" s="75">
        <f t="shared" si="67"/>
        <v>5.5170223332237358E-3</v>
      </c>
      <c r="O267" s="39"/>
      <c r="P267" s="258">
        <v>0</v>
      </c>
      <c r="Q267" s="510"/>
      <c r="R267" s="258">
        <v>0</v>
      </c>
      <c r="S267" s="510"/>
      <c r="T267" s="258">
        <v>0</v>
      </c>
      <c r="U267" s="521"/>
      <c r="V267" s="257">
        <v>1</v>
      </c>
      <c r="W267" s="510"/>
      <c r="X267" s="257">
        <v>1</v>
      </c>
      <c r="Y267" s="510"/>
    </row>
    <row r="268" spans="2:25" ht="12" customHeight="1">
      <c r="B268" s="86" t="s">
        <v>626</v>
      </c>
      <c r="C268" s="96" t="s">
        <v>627</v>
      </c>
      <c r="D268" s="97">
        <v>2</v>
      </c>
      <c r="E268" s="350" t="s">
        <v>628</v>
      </c>
      <c r="F268" s="339">
        <f t="shared" si="69"/>
        <v>1.5482307918409159</v>
      </c>
      <c r="G268" s="372">
        <f>I528*M268</f>
        <v>3.0964615836818319</v>
      </c>
      <c r="H268" s="308">
        <v>6.35</v>
      </c>
      <c r="I268" s="114">
        <f t="shared" si="68"/>
        <v>12.7</v>
      </c>
      <c r="J268" s="39"/>
      <c r="K268" s="62">
        <f t="shared" si="64"/>
        <v>1.3732342586265059E-3</v>
      </c>
      <c r="L268" s="63">
        <f t="shared" si="65"/>
        <v>0.59974113993581457</v>
      </c>
      <c r="M268" s="64">
        <f t="shared" si="66"/>
        <v>1.2661381069588344E-5</v>
      </c>
      <c r="N268" s="75">
        <f t="shared" si="67"/>
        <v>5.5296837142933238E-3</v>
      </c>
      <c r="O268" s="39"/>
      <c r="P268" s="258">
        <v>0</v>
      </c>
      <c r="Q268" s="510"/>
      <c r="R268" s="258">
        <v>0</v>
      </c>
      <c r="S268" s="510"/>
      <c r="T268" s="258">
        <v>0</v>
      </c>
      <c r="U268" s="521"/>
      <c r="V268" s="257">
        <v>1</v>
      </c>
      <c r="W268" s="510"/>
      <c r="X268" s="257">
        <v>1</v>
      </c>
      <c r="Y268" s="510"/>
    </row>
    <row r="269" spans="2:25" ht="12" customHeight="1">
      <c r="B269" s="86" t="s">
        <v>629</v>
      </c>
      <c r="C269" s="96" t="s">
        <v>630</v>
      </c>
      <c r="D269" s="97">
        <v>10</v>
      </c>
      <c r="E269" s="350" t="s">
        <v>631</v>
      </c>
      <c r="F269" s="339">
        <f t="shared" si="69"/>
        <v>0.86310818946721923</v>
      </c>
      <c r="G269" s="372">
        <f>I528*M269</f>
        <v>8.6310818946721923</v>
      </c>
      <c r="H269" s="308">
        <v>3.54</v>
      </c>
      <c r="I269" s="114">
        <f t="shared" si="68"/>
        <v>35.4</v>
      </c>
      <c r="J269" s="39"/>
      <c r="K269" s="62">
        <f t="shared" si="64"/>
        <v>3.8277553350691581E-3</v>
      </c>
      <c r="L269" s="63">
        <f t="shared" si="65"/>
        <v>0.60356889527088375</v>
      </c>
      <c r="M269" s="64">
        <f t="shared" si="66"/>
        <v>3.5292353532553337E-5</v>
      </c>
      <c r="N269" s="75">
        <f t="shared" si="67"/>
        <v>5.564976067825877E-3</v>
      </c>
      <c r="O269" s="39"/>
      <c r="P269" s="258">
        <v>0</v>
      </c>
      <c r="Q269" s="510"/>
      <c r="R269" s="258">
        <v>0</v>
      </c>
      <c r="S269" s="510"/>
      <c r="T269" s="258">
        <v>0</v>
      </c>
      <c r="U269" s="521"/>
      <c r="V269" s="257">
        <v>1</v>
      </c>
      <c r="W269" s="510"/>
      <c r="X269" s="257">
        <v>1</v>
      </c>
      <c r="Y269" s="510"/>
    </row>
    <row r="270" spans="2:25" ht="12" customHeight="1">
      <c r="B270" s="86" t="s">
        <v>632</v>
      </c>
      <c r="C270" s="96" t="s">
        <v>633</v>
      </c>
      <c r="D270" s="97">
        <v>5</v>
      </c>
      <c r="E270" s="350" t="s">
        <v>634</v>
      </c>
      <c r="F270" s="339">
        <f t="shared" si="69"/>
        <v>7.0243352933758718</v>
      </c>
      <c r="G270" s="372">
        <f>I528*M270</f>
        <v>35.121676466879357</v>
      </c>
      <c r="H270" s="308">
        <v>28.81</v>
      </c>
      <c r="I270" s="114">
        <f t="shared" si="68"/>
        <v>144.04999999999998</v>
      </c>
      <c r="J270" s="39"/>
      <c r="K270" s="62">
        <f t="shared" si="64"/>
        <v>1.5575936610641588E-2</v>
      </c>
      <c r="L270" s="63">
        <f t="shared" si="65"/>
        <v>0.61914483188152536</v>
      </c>
      <c r="M270" s="64">
        <f t="shared" si="66"/>
        <v>1.4361196402159061E-4</v>
      </c>
      <c r="N270" s="75">
        <f t="shared" si="67"/>
        <v>5.7085880318474679E-3</v>
      </c>
      <c r="O270" s="39"/>
      <c r="P270" s="258">
        <v>0</v>
      </c>
      <c r="Q270" s="510"/>
      <c r="R270" s="258">
        <v>0</v>
      </c>
      <c r="S270" s="510"/>
      <c r="T270" s="258">
        <v>0</v>
      </c>
      <c r="U270" s="521"/>
      <c r="V270" s="257">
        <v>1</v>
      </c>
      <c r="W270" s="510"/>
      <c r="X270" s="257">
        <v>1</v>
      </c>
      <c r="Y270" s="510"/>
    </row>
    <row r="271" spans="2:25" ht="12" customHeight="1">
      <c r="B271" s="86" t="s">
        <v>635</v>
      </c>
      <c r="C271" s="96" t="s">
        <v>636</v>
      </c>
      <c r="D271" s="97">
        <v>7</v>
      </c>
      <c r="E271" s="350" t="s">
        <v>637</v>
      </c>
      <c r="F271" s="339">
        <f t="shared" si="69"/>
        <v>8.2019659586658928</v>
      </c>
      <c r="G271" s="372">
        <f>I528*M271</f>
        <v>57.413761710661248</v>
      </c>
      <c r="H271" s="308">
        <v>33.64</v>
      </c>
      <c r="I271" s="114">
        <f t="shared" si="68"/>
        <v>235.48000000000002</v>
      </c>
      <c r="J271" s="39"/>
      <c r="K271" s="62">
        <f t="shared" si="64"/>
        <v>2.5462141985934619E-2</v>
      </c>
      <c r="L271" s="63">
        <f t="shared" si="65"/>
        <v>0.64460697386746002</v>
      </c>
      <c r="M271" s="64">
        <f t="shared" si="66"/>
        <v>2.3476393813123334E-4</v>
      </c>
      <c r="N271" s="75">
        <f t="shared" si="67"/>
        <v>5.943351969978701E-3</v>
      </c>
      <c r="O271" s="39"/>
      <c r="P271" s="258">
        <v>0</v>
      </c>
      <c r="Q271" s="510"/>
      <c r="R271" s="258">
        <v>0</v>
      </c>
      <c r="S271" s="510"/>
      <c r="T271" s="258">
        <v>0</v>
      </c>
      <c r="U271" s="521"/>
      <c r="V271" s="257">
        <v>1</v>
      </c>
      <c r="W271" s="510"/>
      <c r="X271" s="257">
        <v>1</v>
      </c>
      <c r="Y271" s="510"/>
    </row>
    <row r="272" spans="2:25" ht="12" customHeight="1">
      <c r="B272" s="86" t="s">
        <v>638</v>
      </c>
      <c r="C272" s="96" t="s">
        <v>639</v>
      </c>
      <c r="D272" s="97">
        <v>8</v>
      </c>
      <c r="E272" s="350" t="s">
        <v>640</v>
      </c>
      <c r="F272" s="339">
        <f t="shared" si="69"/>
        <v>12.627224048730874</v>
      </c>
      <c r="G272" s="372">
        <f>I528*M272</f>
        <v>101.01779238984699</v>
      </c>
      <c r="H272" s="308">
        <v>51.79</v>
      </c>
      <c r="I272" s="114">
        <f t="shared" si="68"/>
        <v>414.32</v>
      </c>
      <c r="J272" s="39"/>
      <c r="K272" s="62">
        <f t="shared" si="64"/>
        <v>4.4799875435758578E-2</v>
      </c>
      <c r="L272" s="63">
        <f t="shared" si="65"/>
        <v>0.68940684930321861</v>
      </c>
      <c r="M272" s="64">
        <f t="shared" si="66"/>
        <v>4.1306011061038135E-4</v>
      </c>
      <c r="N272" s="75">
        <f t="shared" si="67"/>
        <v>6.3564120805890828E-3</v>
      </c>
      <c r="O272" s="39"/>
      <c r="P272" s="258">
        <v>0</v>
      </c>
      <c r="Q272" s="510"/>
      <c r="R272" s="258">
        <v>0</v>
      </c>
      <c r="S272" s="510"/>
      <c r="T272" s="258">
        <v>0</v>
      </c>
      <c r="U272" s="521"/>
      <c r="V272" s="257">
        <v>1</v>
      </c>
      <c r="W272" s="510"/>
      <c r="X272" s="257">
        <v>1</v>
      </c>
      <c r="Y272" s="510"/>
    </row>
    <row r="273" spans="1:25" ht="12" customHeight="1">
      <c r="B273" s="86" t="s">
        <v>641</v>
      </c>
      <c r="C273" s="96" t="s">
        <v>642</v>
      </c>
      <c r="D273" s="97">
        <v>4</v>
      </c>
      <c r="E273" s="350" t="s">
        <v>643</v>
      </c>
      <c r="F273" s="339">
        <f t="shared" si="69"/>
        <v>4.854374026071282</v>
      </c>
      <c r="G273" s="372">
        <f>I528*M273</f>
        <v>19.417496104285128</v>
      </c>
      <c r="H273" s="308">
        <v>19.91</v>
      </c>
      <c r="I273" s="114">
        <f t="shared" si="68"/>
        <v>79.64</v>
      </c>
      <c r="J273" s="39"/>
      <c r="K273" s="62">
        <f t="shared" si="64"/>
        <v>8.6113682170877899E-3</v>
      </c>
      <c r="L273" s="63">
        <f t="shared" si="65"/>
        <v>0.69801821752030635</v>
      </c>
      <c r="M273" s="64">
        <f t="shared" si="66"/>
        <v>7.939782585685164E-5</v>
      </c>
      <c r="N273" s="75">
        <f t="shared" si="67"/>
        <v>6.4358099064459346E-3</v>
      </c>
      <c r="O273" s="39"/>
      <c r="P273" s="258">
        <v>0</v>
      </c>
      <c r="Q273" s="510"/>
      <c r="R273" s="258">
        <v>0</v>
      </c>
      <c r="S273" s="510"/>
      <c r="T273" s="258">
        <v>0</v>
      </c>
      <c r="U273" s="521"/>
      <c r="V273" s="257">
        <v>1</v>
      </c>
      <c r="W273" s="510"/>
      <c r="X273" s="257">
        <v>1</v>
      </c>
      <c r="Y273" s="510"/>
    </row>
    <row r="274" spans="1:25" ht="12" customHeight="1">
      <c r="B274" s="86" t="s">
        <v>644</v>
      </c>
      <c r="C274" s="96" t="s">
        <v>645</v>
      </c>
      <c r="D274" s="97">
        <v>5</v>
      </c>
      <c r="E274" s="350" t="s">
        <v>646</v>
      </c>
      <c r="F274" s="339">
        <f t="shared" si="69"/>
        <v>7.7655355464776648</v>
      </c>
      <c r="G274" s="372">
        <f>I528*M274</f>
        <v>38.827677732388324</v>
      </c>
      <c r="H274" s="308">
        <v>31.85</v>
      </c>
      <c r="I274" s="114">
        <f t="shared" si="68"/>
        <v>159.25</v>
      </c>
      <c r="J274" s="39"/>
      <c r="K274" s="62">
        <f t="shared" si="64"/>
        <v>1.7219492573722132E-2</v>
      </c>
      <c r="L274" s="63">
        <f t="shared" si="65"/>
        <v>0.71523771009402848</v>
      </c>
      <c r="M274" s="64">
        <f t="shared" si="66"/>
        <v>1.5876574293952314E-4</v>
      </c>
      <c r="N274" s="75">
        <f t="shared" si="67"/>
        <v>6.5945756493854578E-3</v>
      </c>
      <c r="O274" s="39"/>
      <c r="P274" s="258">
        <v>0</v>
      </c>
      <c r="Q274" s="510"/>
      <c r="R274" s="258">
        <v>0</v>
      </c>
      <c r="S274" s="510"/>
      <c r="T274" s="258">
        <v>0</v>
      </c>
      <c r="U274" s="521"/>
      <c r="V274" s="257">
        <v>1</v>
      </c>
      <c r="W274" s="510"/>
      <c r="X274" s="257">
        <v>1</v>
      </c>
      <c r="Y274" s="510"/>
    </row>
    <row r="275" spans="1:25" ht="12" customHeight="1">
      <c r="B275" s="86" t="s">
        <v>647</v>
      </c>
      <c r="C275" s="96" t="s">
        <v>648</v>
      </c>
      <c r="D275" s="97">
        <v>1</v>
      </c>
      <c r="E275" s="350" t="s">
        <v>649</v>
      </c>
      <c r="F275" s="339">
        <f t="shared" si="69"/>
        <v>12.33464500145385</v>
      </c>
      <c r="G275" s="372">
        <f>I528*M275</f>
        <v>12.33464500145385</v>
      </c>
      <c r="H275" s="308">
        <v>50.59</v>
      </c>
      <c r="I275" s="114">
        <f t="shared" si="68"/>
        <v>50.59</v>
      </c>
      <c r="J275" s="39"/>
      <c r="K275" s="62">
        <f t="shared" si="64"/>
        <v>5.4702300113318855E-3</v>
      </c>
      <c r="L275" s="63">
        <f t="shared" si="65"/>
        <v>0.72070794010536032</v>
      </c>
      <c r="M275" s="64">
        <f t="shared" si="66"/>
        <v>5.0436162859092473E-5</v>
      </c>
      <c r="N275" s="75">
        <f t="shared" si="67"/>
        <v>6.6450118122445504E-3</v>
      </c>
      <c r="O275" s="39"/>
      <c r="P275" s="258">
        <v>0</v>
      </c>
      <c r="Q275" s="510"/>
      <c r="R275" s="258">
        <v>0</v>
      </c>
      <c r="S275" s="510"/>
      <c r="T275" s="258">
        <v>0</v>
      </c>
      <c r="U275" s="521"/>
      <c r="V275" s="257">
        <v>1</v>
      </c>
      <c r="W275" s="510"/>
      <c r="X275" s="257">
        <v>1</v>
      </c>
      <c r="Y275" s="510"/>
    </row>
    <row r="276" spans="1:25" ht="12" customHeight="1">
      <c r="B276" s="86" t="s">
        <v>650</v>
      </c>
      <c r="C276" s="96" t="s">
        <v>651</v>
      </c>
      <c r="D276" s="97">
        <v>3</v>
      </c>
      <c r="E276" s="350" t="s">
        <v>652</v>
      </c>
      <c r="F276" s="339">
        <f t="shared" si="69"/>
        <v>29.552921933706681</v>
      </c>
      <c r="G276" s="372">
        <f>I528*M276</f>
        <v>88.65876580112004</v>
      </c>
      <c r="H276" s="308">
        <v>121.21</v>
      </c>
      <c r="I276" s="114">
        <f t="shared" si="68"/>
        <v>363.63</v>
      </c>
      <c r="J276" s="39"/>
      <c r="K276" s="62">
        <f t="shared" si="64"/>
        <v>3.9318832556248531E-2</v>
      </c>
      <c r="L276" s="63">
        <f t="shared" si="65"/>
        <v>0.7600267726616089</v>
      </c>
      <c r="M276" s="64">
        <f t="shared" si="66"/>
        <v>3.6252425183735509E-4</v>
      </c>
      <c r="N276" s="75">
        <f t="shared" si="67"/>
        <v>7.0075360640819056E-3</v>
      </c>
      <c r="O276" s="39"/>
      <c r="P276" s="258">
        <v>0</v>
      </c>
      <c r="Q276" s="510"/>
      <c r="R276" s="258">
        <v>0</v>
      </c>
      <c r="S276" s="510"/>
      <c r="T276" s="258">
        <v>0</v>
      </c>
      <c r="U276" s="521"/>
      <c r="V276" s="257">
        <v>1</v>
      </c>
      <c r="W276" s="510"/>
      <c r="X276" s="257">
        <v>1</v>
      </c>
      <c r="Y276" s="510"/>
    </row>
    <row r="277" spans="1:25" ht="12" customHeight="1">
      <c r="B277" s="86" t="s">
        <v>653</v>
      </c>
      <c r="C277" s="96" t="s">
        <v>654</v>
      </c>
      <c r="D277" s="97">
        <v>1</v>
      </c>
      <c r="E277" s="350" t="s">
        <v>655</v>
      </c>
      <c r="F277" s="339">
        <f t="shared" si="69"/>
        <v>10.054966591420374</v>
      </c>
      <c r="G277" s="372">
        <f>I528*M277</f>
        <v>10.054966591420374</v>
      </c>
      <c r="H277" s="308">
        <v>41.24</v>
      </c>
      <c r="I277" s="114">
        <f t="shared" si="68"/>
        <v>41.24</v>
      </c>
      <c r="J277" s="39"/>
      <c r="K277" s="62">
        <f t="shared" si="64"/>
        <v>4.4592268366737886E-3</v>
      </c>
      <c r="L277" s="63">
        <f t="shared" si="65"/>
        <v>0.76448599949828266</v>
      </c>
      <c r="M277" s="64">
        <f t="shared" si="66"/>
        <v>4.1114594906285305E-5</v>
      </c>
      <c r="N277" s="75">
        <f t="shared" si="67"/>
        <v>7.0486506589881905E-3</v>
      </c>
      <c r="O277" s="39"/>
      <c r="P277" s="258">
        <v>0</v>
      </c>
      <c r="Q277" s="510"/>
      <c r="R277" s="258">
        <v>0</v>
      </c>
      <c r="S277" s="510"/>
      <c r="T277" s="258">
        <v>0</v>
      </c>
      <c r="U277" s="521"/>
      <c r="V277" s="257">
        <v>1</v>
      </c>
      <c r="W277" s="510"/>
      <c r="X277" s="257">
        <v>1</v>
      </c>
      <c r="Y277" s="510"/>
    </row>
    <row r="278" spans="1:25" ht="12" customHeight="1">
      <c r="B278" s="86" t="s">
        <v>656</v>
      </c>
      <c r="C278" s="96" t="s">
        <v>657</v>
      </c>
      <c r="D278" s="97">
        <v>8</v>
      </c>
      <c r="E278" s="350" t="s">
        <v>658</v>
      </c>
      <c r="F278" s="339">
        <f t="shared" si="69"/>
        <v>6.307516627547165</v>
      </c>
      <c r="G278" s="372">
        <f>I528*M278</f>
        <v>50.46013302037732</v>
      </c>
      <c r="H278" s="308">
        <v>25.87</v>
      </c>
      <c r="I278" s="114">
        <f t="shared" si="68"/>
        <v>206.96</v>
      </c>
      <c r="J278" s="39"/>
      <c r="K278" s="62">
        <f t="shared" si="64"/>
        <v>2.2378311981522968E-2</v>
      </c>
      <c r="L278" s="63">
        <f t="shared" si="65"/>
        <v>0.78686431147980562</v>
      </c>
      <c r="M278" s="64">
        <f t="shared" si="66"/>
        <v>2.0633066347732314E-4</v>
      </c>
      <c r="N278" s="75">
        <f t="shared" si="67"/>
        <v>7.2549813224655132E-3</v>
      </c>
      <c r="O278" s="39"/>
      <c r="P278" s="258">
        <v>0</v>
      </c>
      <c r="Q278" s="510"/>
      <c r="R278" s="258">
        <v>0</v>
      </c>
      <c r="S278" s="510"/>
      <c r="T278" s="258">
        <v>0</v>
      </c>
      <c r="U278" s="521"/>
      <c r="V278" s="257">
        <v>1</v>
      </c>
      <c r="W278" s="510"/>
      <c r="X278" s="257">
        <v>1</v>
      </c>
      <c r="Y278" s="510"/>
    </row>
    <row r="279" spans="1:25" ht="12" customHeight="1">
      <c r="B279" s="86" t="s">
        <v>659</v>
      </c>
      <c r="C279" s="96" t="s">
        <v>660</v>
      </c>
      <c r="D279" s="97">
        <v>4</v>
      </c>
      <c r="E279" s="350" t="s">
        <v>661</v>
      </c>
      <c r="F279" s="339">
        <f t="shared" si="69"/>
        <v>7.499776245201037</v>
      </c>
      <c r="G279" s="372">
        <f>I528*M279</f>
        <v>29.999104980804148</v>
      </c>
      <c r="H279" s="308">
        <v>30.76</v>
      </c>
      <c r="I279" s="114">
        <f t="shared" si="68"/>
        <v>123.04</v>
      </c>
      <c r="J279" s="39"/>
      <c r="K279" s="62">
        <f t="shared" si="64"/>
        <v>1.3304153006409867E-2</v>
      </c>
      <c r="L279" s="63">
        <f t="shared" si="65"/>
        <v>0.80016846448621548</v>
      </c>
      <c r="M279" s="64">
        <f t="shared" si="66"/>
        <v>1.2266585250410631E-4</v>
      </c>
      <c r="N279" s="75">
        <f t="shared" si="67"/>
        <v>7.3776471749696197E-3</v>
      </c>
      <c r="O279" s="39"/>
      <c r="P279" s="258">
        <v>0</v>
      </c>
      <c r="Q279" s="510"/>
      <c r="R279" s="258">
        <v>0</v>
      </c>
      <c r="S279" s="510"/>
      <c r="T279" s="258">
        <v>0</v>
      </c>
      <c r="U279" s="521"/>
      <c r="V279" s="257">
        <v>1</v>
      </c>
      <c r="W279" s="510"/>
      <c r="X279" s="257">
        <v>1</v>
      </c>
      <c r="Y279" s="510"/>
    </row>
    <row r="280" spans="1:25" ht="12" customHeight="1">
      <c r="B280" s="86" t="s">
        <v>662</v>
      </c>
      <c r="C280" s="96" t="s">
        <v>663</v>
      </c>
      <c r="D280" s="97">
        <v>4</v>
      </c>
      <c r="E280" s="350" t="s">
        <v>664</v>
      </c>
      <c r="F280" s="339">
        <f t="shared" si="69"/>
        <v>77.845531845506713</v>
      </c>
      <c r="G280" s="372">
        <f>I528*M280</f>
        <v>311.38212738202685</v>
      </c>
      <c r="H280" s="308">
        <v>319.27999999999997</v>
      </c>
      <c r="I280" s="114">
        <f t="shared" si="68"/>
        <v>1277.1199999999999</v>
      </c>
      <c r="J280" s="39"/>
      <c r="K280" s="62">
        <f t="shared" si="64"/>
        <v>0.13809330207693568</v>
      </c>
      <c r="L280" s="63">
        <f t="shared" si="65"/>
        <v>0.93826176656315119</v>
      </c>
      <c r="M280" s="64">
        <f t="shared" si="66"/>
        <v>1.2732364560309186E-3</v>
      </c>
      <c r="N280" s="75">
        <f t="shared" si="67"/>
        <v>8.6508836310005381E-3</v>
      </c>
      <c r="O280" s="39"/>
      <c r="P280" s="258">
        <v>0</v>
      </c>
      <c r="Q280" s="510"/>
      <c r="R280" s="258">
        <v>0</v>
      </c>
      <c r="S280" s="510"/>
      <c r="T280" s="258">
        <v>0</v>
      </c>
      <c r="U280" s="521"/>
      <c r="V280" s="257">
        <v>1</v>
      </c>
      <c r="W280" s="510"/>
      <c r="X280" s="257">
        <v>1</v>
      </c>
      <c r="Y280" s="510"/>
    </row>
    <row r="281" spans="1:25" ht="12" customHeight="1">
      <c r="B281" s="86" t="s">
        <v>665</v>
      </c>
      <c r="C281" s="96" t="s">
        <v>666</v>
      </c>
      <c r="D281" s="97">
        <v>1</v>
      </c>
      <c r="E281" s="350" t="s">
        <v>667</v>
      </c>
      <c r="F281" s="339">
        <f t="shared" si="69"/>
        <v>107.67396571539928</v>
      </c>
      <c r="G281" s="372">
        <f>I528*M281</f>
        <v>107.67396571539928</v>
      </c>
      <c r="H281" s="308">
        <v>441.62</v>
      </c>
      <c r="I281" s="114">
        <f t="shared" si="68"/>
        <v>441.62</v>
      </c>
      <c r="J281" s="39"/>
      <c r="K281" s="62">
        <f t="shared" si="64"/>
        <v>4.7751788448396663E-2</v>
      </c>
      <c r="L281" s="63">
        <f t="shared" si="65"/>
        <v>0.98601355501154786</v>
      </c>
      <c r="M281" s="64">
        <f t="shared" si="66"/>
        <v>4.4027709511429961E-4</v>
      </c>
      <c r="N281" s="75">
        <f t="shared" si="67"/>
        <v>9.0911607261148376E-3</v>
      </c>
      <c r="O281" s="39"/>
      <c r="P281" s="259">
        <v>0</v>
      </c>
      <c r="Q281" s="510"/>
      <c r="R281" s="258">
        <v>0</v>
      </c>
      <c r="S281" s="510"/>
      <c r="T281" s="258">
        <v>0</v>
      </c>
      <c r="U281" s="521"/>
      <c r="V281" s="257">
        <v>1</v>
      </c>
      <c r="W281" s="510"/>
      <c r="X281" s="257">
        <v>1</v>
      </c>
      <c r="Y281" s="510"/>
    </row>
    <row r="282" spans="1:25" ht="12" customHeight="1" thickBot="1">
      <c r="B282" s="86" t="s">
        <v>668</v>
      </c>
      <c r="C282" s="96" t="s">
        <v>669</v>
      </c>
      <c r="D282" s="97">
        <v>5</v>
      </c>
      <c r="E282" s="350" t="s">
        <v>670</v>
      </c>
      <c r="F282" s="339">
        <f t="shared" si="69"/>
        <v>6.307516627547165</v>
      </c>
      <c r="G282" s="372">
        <f>I528*M282</f>
        <v>31.537583137735826</v>
      </c>
      <c r="H282" s="308">
        <v>25.87</v>
      </c>
      <c r="I282" s="114">
        <f t="shared" si="68"/>
        <v>129.35</v>
      </c>
      <c r="J282" s="39"/>
      <c r="K282" s="62">
        <f t="shared" si="64"/>
        <v>1.3986444988451854E-2</v>
      </c>
      <c r="L282" s="63">
        <f t="shared" si="65"/>
        <v>0.99999999999999967</v>
      </c>
      <c r="M282" s="64">
        <f t="shared" si="66"/>
        <v>1.2895666467332696E-4</v>
      </c>
      <c r="N282" s="157">
        <f t="shared" si="67"/>
        <v>9.2201173907881639E-3</v>
      </c>
      <c r="O282" s="39"/>
      <c r="P282" s="289">
        <v>0</v>
      </c>
      <c r="Q282" s="515"/>
      <c r="R282" s="279">
        <v>0</v>
      </c>
      <c r="S282" s="515"/>
      <c r="T282" s="249">
        <v>0</v>
      </c>
      <c r="U282" s="526"/>
      <c r="V282" s="269">
        <v>1</v>
      </c>
      <c r="W282" s="515"/>
      <c r="X282" s="269">
        <v>1</v>
      </c>
      <c r="Y282" s="515"/>
    </row>
    <row r="283" spans="1:25" ht="12" customHeight="1">
      <c r="A283" s="291" t="s">
        <v>70</v>
      </c>
      <c r="B283" s="158"/>
      <c r="C283" s="159" t="s">
        <v>587</v>
      </c>
      <c r="D283" s="160"/>
      <c r="E283" s="359"/>
      <c r="F283" s="342">
        <f>+G283/D$3</f>
        <v>2.0692111714561348</v>
      </c>
      <c r="G283" s="377">
        <f>SUM(G284:G298)</f>
        <v>1905.3503387885235</v>
      </c>
      <c r="H283" s="313"/>
      <c r="I283" s="161">
        <f>SUM(I284:I298)</f>
        <v>7814.71</v>
      </c>
      <c r="J283" s="39"/>
      <c r="K283" s="552" t="str">
        <f>+C283</f>
        <v>Louças, Aparelhos e Metais</v>
      </c>
      <c r="L283" s="553"/>
      <c r="M283" s="170">
        <f t="shared" si="66"/>
        <v>7.7909465557734437E-3</v>
      </c>
      <c r="N283" s="171"/>
      <c r="O283" s="38"/>
      <c r="P283" s="270">
        <f>SUMPRODUCT( P284:P298,$M$284:$M$298)</f>
        <v>0</v>
      </c>
      <c r="Q283" s="510">
        <f>+P283/$M$283</f>
        <v>0</v>
      </c>
      <c r="R283" s="270">
        <f>SUMPRODUCT( R284:R298,$M$284:$M$298)</f>
        <v>0</v>
      </c>
      <c r="S283" s="510">
        <f>+R283/$M$283</f>
        <v>0</v>
      </c>
      <c r="T283" s="270">
        <f>SUMPRODUCT( T284:T298,$M$284:$M$298)</f>
        <v>0</v>
      </c>
      <c r="U283" s="521">
        <f>+T283/$M$283</f>
        <v>0</v>
      </c>
      <c r="V283" s="270">
        <f>SUMPRODUCT( V284:V298,$M$284:$M$298)</f>
        <v>0</v>
      </c>
      <c r="W283" s="510">
        <f>+V283/$M$283</f>
        <v>0</v>
      </c>
      <c r="X283" s="270">
        <f>SUMPRODUCT( X284:X298,$M$284:$M$298)</f>
        <v>0</v>
      </c>
      <c r="Y283" s="510">
        <f>+X283/$M$283</f>
        <v>0</v>
      </c>
    </row>
    <row r="284" spans="1:25" ht="12" customHeight="1">
      <c r="B284" s="86" t="s">
        <v>671</v>
      </c>
      <c r="C284" s="96" t="s">
        <v>672</v>
      </c>
      <c r="D284" s="97">
        <v>11</v>
      </c>
      <c r="E284" s="350" t="s">
        <v>673</v>
      </c>
      <c r="F284" s="339">
        <f t="shared" si="69"/>
        <v>51.927904574217045</v>
      </c>
      <c r="G284" s="372">
        <f>I528*M284</f>
        <v>571.20695031638752</v>
      </c>
      <c r="H284" s="308">
        <v>212.98</v>
      </c>
      <c r="I284" s="114">
        <f t="shared" ref="I284:I298" si="70">$D284*$H284</f>
        <v>2342.7799999999997</v>
      </c>
      <c r="J284" s="39"/>
      <c r="K284" s="187">
        <f>+I284/$I$283</f>
        <v>0.29979103511198751</v>
      </c>
      <c r="L284" s="188">
        <f>+K284</f>
        <v>0.29979103511198751</v>
      </c>
      <c r="M284" s="189">
        <f t="shared" si="66"/>
        <v>2.3356559324574943E-3</v>
      </c>
      <c r="N284" s="190">
        <f>+M284</f>
        <v>2.3356559324574943E-3</v>
      </c>
      <c r="O284" s="39"/>
      <c r="P284" s="262">
        <v>0</v>
      </c>
      <c r="Q284" s="510"/>
      <c r="R284" s="262">
        <v>0</v>
      </c>
      <c r="S284" s="510"/>
      <c r="T284" s="262">
        <v>0</v>
      </c>
      <c r="U284" s="521"/>
      <c r="V284" s="262">
        <v>0</v>
      </c>
      <c r="W284" s="510"/>
      <c r="X284" s="262">
        <v>0</v>
      </c>
      <c r="Y284" s="510"/>
    </row>
    <row r="285" spans="1:25" ht="12" customHeight="1">
      <c r="B285" s="86" t="s">
        <v>674</v>
      </c>
      <c r="C285" s="96" t="s">
        <v>675</v>
      </c>
      <c r="D285" s="97">
        <v>1</v>
      </c>
      <c r="E285" s="350" t="s">
        <v>676</v>
      </c>
      <c r="F285" s="339">
        <f t="shared" si="69"/>
        <v>55.916732252093809</v>
      </c>
      <c r="G285" s="372">
        <f>I528*M285</f>
        <v>55.916732252093809</v>
      </c>
      <c r="H285" s="308">
        <v>229.34</v>
      </c>
      <c r="I285" s="114">
        <f t="shared" si="70"/>
        <v>229.34</v>
      </c>
      <c r="J285" s="39"/>
      <c r="K285" s="187">
        <f>+I285/$I$283</f>
        <v>2.9347218258898924E-2</v>
      </c>
      <c r="L285" s="188">
        <f>+L284+K285</f>
        <v>0.32913825337088642</v>
      </c>
      <c r="M285" s="189">
        <f t="shared" si="66"/>
        <v>2.2864260901570008E-4</v>
      </c>
      <c r="N285" s="190">
        <f>+N284+M285</f>
        <v>2.5642985414731944E-3</v>
      </c>
      <c r="O285" s="39"/>
      <c r="P285" s="262">
        <v>0</v>
      </c>
      <c r="Q285" s="510"/>
      <c r="R285" s="262">
        <v>0</v>
      </c>
      <c r="S285" s="510"/>
      <c r="T285" s="262">
        <v>0</v>
      </c>
      <c r="U285" s="521"/>
      <c r="V285" s="262">
        <v>0</v>
      </c>
      <c r="W285" s="510"/>
      <c r="X285" s="262">
        <v>0</v>
      </c>
      <c r="Y285" s="510"/>
    </row>
    <row r="286" spans="1:25" ht="12" customHeight="1">
      <c r="B286" s="86" t="s">
        <v>677</v>
      </c>
      <c r="C286" s="96" t="s">
        <v>678</v>
      </c>
      <c r="D286" s="97">
        <v>1</v>
      </c>
      <c r="E286" s="350" t="s">
        <v>679</v>
      </c>
      <c r="F286" s="339">
        <f t="shared" si="69"/>
        <v>59.578846660511218</v>
      </c>
      <c r="G286" s="372">
        <f>I528*M286</f>
        <v>59.578846660511218</v>
      </c>
      <c r="H286" s="308">
        <v>244.36</v>
      </c>
      <c r="I286" s="114">
        <f t="shared" si="70"/>
        <v>244.36</v>
      </c>
      <c r="J286" s="39"/>
      <c r="K286" s="187">
        <f t="shared" ref="K286:K298" si="71">+I286/$I$283</f>
        <v>3.1269234558927973E-2</v>
      </c>
      <c r="L286" s="188">
        <f t="shared" ref="L286:L298" si="72">+L285+K286</f>
        <v>0.36040748792981442</v>
      </c>
      <c r="M286" s="189">
        <f t="shared" ref="M286:M301" si="73">+I286/$I$514</f>
        <v>2.4361693528855181E-4</v>
      </c>
      <c r="N286" s="190">
        <f t="shared" ref="N286:N298" si="74">+N285+M286</f>
        <v>2.8079154767617462E-3</v>
      </c>
      <c r="O286" s="39"/>
      <c r="P286" s="262">
        <v>0</v>
      </c>
      <c r="Q286" s="510"/>
      <c r="R286" s="262">
        <v>0</v>
      </c>
      <c r="S286" s="510"/>
      <c r="T286" s="262">
        <v>0</v>
      </c>
      <c r="U286" s="521"/>
      <c r="V286" s="262">
        <v>0</v>
      </c>
      <c r="W286" s="510"/>
      <c r="X286" s="262">
        <v>0</v>
      </c>
      <c r="Y286" s="510"/>
    </row>
    <row r="287" spans="1:25" ht="12" customHeight="1">
      <c r="B287" s="86" t="s">
        <v>680</v>
      </c>
      <c r="C287" s="96" t="s">
        <v>681</v>
      </c>
      <c r="D287" s="97">
        <v>10</v>
      </c>
      <c r="E287" s="350" t="s">
        <v>682</v>
      </c>
      <c r="F287" s="339">
        <f t="shared" si="69"/>
        <v>55.255991236993204</v>
      </c>
      <c r="G287" s="372">
        <f>I528*M287</f>
        <v>552.55991236993202</v>
      </c>
      <c r="H287" s="308">
        <v>226.63</v>
      </c>
      <c r="I287" s="114">
        <f t="shared" si="70"/>
        <v>2266.3000000000002</v>
      </c>
      <c r="J287" s="39"/>
      <c r="K287" s="187">
        <f t="shared" si="71"/>
        <v>0.29000436356563458</v>
      </c>
      <c r="L287" s="188">
        <f t="shared" si="72"/>
        <v>0.650411851495449</v>
      </c>
      <c r="M287" s="189">
        <f t="shared" si="73"/>
        <v>2.2594084974809502E-3</v>
      </c>
      <c r="N287" s="190">
        <f t="shared" si="74"/>
        <v>5.0673239742426964E-3</v>
      </c>
      <c r="O287" s="39"/>
      <c r="P287" s="262">
        <v>0</v>
      </c>
      <c r="Q287" s="510"/>
      <c r="R287" s="262">
        <v>0</v>
      </c>
      <c r="S287" s="510"/>
      <c r="T287" s="262">
        <v>0</v>
      </c>
      <c r="U287" s="521"/>
      <c r="V287" s="262">
        <v>0</v>
      </c>
      <c r="W287" s="510"/>
      <c r="X287" s="262">
        <v>0</v>
      </c>
      <c r="Y287" s="510"/>
    </row>
    <row r="288" spans="1:25" ht="12" customHeight="1">
      <c r="B288" s="86" t="s">
        <v>683</v>
      </c>
      <c r="C288" s="96" t="s">
        <v>684</v>
      </c>
      <c r="D288" s="97">
        <v>3</v>
      </c>
      <c r="E288" s="350" t="s">
        <v>685</v>
      </c>
      <c r="F288" s="339">
        <f t="shared" si="69"/>
        <v>34.855917165602733</v>
      </c>
      <c r="G288" s="372">
        <f>I528*M288</f>
        <v>104.5677514968082</v>
      </c>
      <c r="H288" s="308">
        <v>142.96</v>
      </c>
      <c r="I288" s="114">
        <f t="shared" si="70"/>
        <v>428.88</v>
      </c>
      <c r="J288" s="39"/>
      <c r="K288" s="187">
        <f t="shared" si="71"/>
        <v>5.4881115230123699E-2</v>
      </c>
      <c r="L288" s="188">
        <f t="shared" si="72"/>
        <v>0.70529296672557273</v>
      </c>
      <c r="M288" s="189">
        <f t="shared" si="73"/>
        <v>4.2757583567913773E-4</v>
      </c>
      <c r="N288" s="190">
        <f t="shared" si="74"/>
        <v>5.4948998099218337E-3</v>
      </c>
      <c r="O288" s="39"/>
      <c r="P288" s="262">
        <v>0</v>
      </c>
      <c r="Q288" s="510"/>
      <c r="R288" s="262">
        <v>0</v>
      </c>
      <c r="S288" s="510"/>
      <c r="T288" s="262">
        <v>0</v>
      </c>
      <c r="U288" s="521"/>
      <c r="V288" s="262">
        <v>0</v>
      </c>
      <c r="W288" s="510"/>
      <c r="X288" s="262">
        <v>0</v>
      </c>
      <c r="Y288" s="510"/>
    </row>
    <row r="289" spans="1:25" ht="12" customHeight="1">
      <c r="B289" s="86" t="s">
        <v>686</v>
      </c>
      <c r="C289" s="96" t="s">
        <v>687</v>
      </c>
      <c r="D289" s="97">
        <v>1</v>
      </c>
      <c r="E289" s="350" t="s">
        <v>688</v>
      </c>
      <c r="F289" s="339">
        <f t="shared" si="69"/>
        <v>58.766939804317481</v>
      </c>
      <c r="G289" s="372">
        <f>I528*M289</f>
        <v>58.766939804317481</v>
      </c>
      <c r="H289" s="308">
        <v>241.03</v>
      </c>
      <c r="I289" s="114">
        <f t="shared" si="70"/>
        <v>241.03</v>
      </c>
      <c r="J289" s="39"/>
      <c r="K289" s="187">
        <f t="shared" si="71"/>
        <v>3.0843115099600624E-2</v>
      </c>
      <c r="L289" s="188">
        <f t="shared" si="72"/>
        <v>0.73613608182517332</v>
      </c>
      <c r="M289" s="189">
        <f t="shared" si="73"/>
        <v>2.4029706135455739E-4</v>
      </c>
      <c r="N289" s="190">
        <f t="shared" si="74"/>
        <v>5.735196871276391E-3</v>
      </c>
      <c r="O289" s="39"/>
      <c r="P289" s="262">
        <v>0</v>
      </c>
      <c r="Q289" s="510"/>
      <c r="R289" s="262">
        <v>0</v>
      </c>
      <c r="S289" s="510"/>
      <c r="T289" s="262">
        <v>0</v>
      </c>
      <c r="U289" s="521"/>
      <c r="V289" s="262">
        <v>0</v>
      </c>
      <c r="W289" s="510"/>
      <c r="X289" s="262">
        <v>0</v>
      </c>
      <c r="Y289" s="510"/>
    </row>
    <row r="290" spans="1:25" ht="12" customHeight="1">
      <c r="B290" s="86" t="s">
        <v>689</v>
      </c>
      <c r="C290" s="96" t="s">
        <v>690</v>
      </c>
      <c r="D290" s="97">
        <v>1</v>
      </c>
      <c r="E290" s="350" t="s">
        <v>691</v>
      </c>
      <c r="F290" s="339">
        <f t="shared" si="69"/>
        <v>40.47343487332158</v>
      </c>
      <c r="G290" s="372">
        <f>I528*M290</f>
        <v>40.47343487332158</v>
      </c>
      <c r="H290" s="308">
        <v>166</v>
      </c>
      <c r="I290" s="114">
        <f t="shared" si="70"/>
        <v>166</v>
      </c>
      <c r="J290" s="39"/>
      <c r="K290" s="187">
        <f t="shared" si="71"/>
        <v>2.1241991065567373E-2</v>
      </c>
      <c r="L290" s="188">
        <f t="shared" si="72"/>
        <v>0.75737807289074066</v>
      </c>
      <c r="M290" s="189">
        <f t="shared" si="73"/>
        <v>1.6549521713005237E-4</v>
      </c>
      <c r="N290" s="190">
        <f t="shared" si="74"/>
        <v>5.9006920884064435E-3</v>
      </c>
      <c r="O290" s="39"/>
      <c r="P290" s="262">
        <v>0</v>
      </c>
      <c r="Q290" s="510"/>
      <c r="R290" s="262">
        <v>0</v>
      </c>
      <c r="S290" s="510"/>
      <c r="T290" s="262">
        <v>0</v>
      </c>
      <c r="U290" s="521"/>
      <c r="V290" s="262">
        <v>0</v>
      </c>
      <c r="W290" s="510"/>
      <c r="X290" s="262">
        <v>0</v>
      </c>
      <c r="Y290" s="510"/>
    </row>
    <row r="291" spans="1:25" ht="12" customHeight="1">
      <c r="B291" s="86" t="s">
        <v>692</v>
      </c>
      <c r="C291" s="96" t="s">
        <v>693</v>
      </c>
      <c r="D291" s="97">
        <v>1</v>
      </c>
      <c r="E291" s="350" t="s">
        <v>694</v>
      </c>
      <c r="F291" s="339">
        <f t="shared" si="69"/>
        <v>23.662330448529275</v>
      </c>
      <c r="G291" s="372">
        <f>I528*M291</f>
        <v>23.662330448529275</v>
      </c>
      <c r="H291" s="308">
        <v>97.05</v>
      </c>
      <c r="I291" s="114">
        <f t="shared" si="70"/>
        <v>97.05</v>
      </c>
      <c r="J291" s="39"/>
      <c r="K291" s="187">
        <f t="shared" si="71"/>
        <v>1.2418886945260924E-2</v>
      </c>
      <c r="L291" s="188">
        <f t="shared" si="72"/>
        <v>0.7697969598360016</v>
      </c>
      <c r="M291" s="189">
        <f t="shared" si="73"/>
        <v>9.6754884472720381E-5</v>
      </c>
      <c r="N291" s="190">
        <f t="shared" si="74"/>
        <v>5.9974469728791635E-3</v>
      </c>
      <c r="O291" s="39"/>
      <c r="P291" s="262">
        <v>0</v>
      </c>
      <c r="Q291" s="510"/>
      <c r="R291" s="262">
        <v>0</v>
      </c>
      <c r="S291" s="510"/>
      <c r="T291" s="262">
        <v>0</v>
      </c>
      <c r="U291" s="521"/>
      <c r="V291" s="262">
        <v>0</v>
      </c>
      <c r="W291" s="510"/>
      <c r="X291" s="262">
        <v>0</v>
      </c>
      <c r="Y291" s="510"/>
    </row>
    <row r="292" spans="1:25" ht="12" customHeight="1">
      <c r="B292" s="86" t="s">
        <v>695</v>
      </c>
      <c r="C292" s="96" t="s">
        <v>696</v>
      </c>
      <c r="D292" s="97">
        <v>1</v>
      </c>
      <c r="E292" s="350" t="s">
        <v>697</v>
      </c>
      <c r="F292" s="339">
        <f t="shared" si="69"/>
        <v>6.307516627547165</v>
      </c>
      <c r="G292" s="372">
        <f>I528*M292</f>
        <v>6.307516627547165</v>
      </c>
      <c r="H292" s="308">
        <v>25.87</v>
      </c>
      <c r="I292" s="114">
        <f t="shared" si="70"/>
        <v>25.87</v>
      </c>
      <c r="J292" s="39"/>
      <c r="K292" s="187">
        <f t="shared" si="71"/>
        <v>3.3104235473869151E-3</v>
      </c>
      <c r="L292" s="188">
        <f t="shared" si="72"/>
        <v>0.77310738338338847</v>
      </c>
      <c r="M292" s="189">
        <f t="shared" si="73"/>
        <v>2.5791332934665393E-5</v>
      </c>
      <c r="N292" s="190">
        <f t="shared" si="74"/>
        <v>6.0232383058138293E-3</v>
      </c>
      <c r="O292" s="39"/>
      <c r="P292" s="262">
        <v>0</v>
      </c>
      <c r="Q292" s="510"/>
      <c r="R292" s="262">
        <v>0</v>
      </c>
      <c r="S292" s="510"/>
      <c r="T292" s="262">
        <v>0</v>
      </c>
      <c r="U292" s="521"/>
      <c r="V292" s="262">
        <v>0</v>
      </c>
      <c r="W292" s="510"/>
      <c r="X292" s="262">
        <v>0</v>
      </c>
      <c r="Y292" s="510"/>
    </row>
    <row r="293" spans="1:25" ht="12" customHeight="1">
      <c r="B293" s="86" t="s">
        <v>698</v>
      </c>
      <c r="C293" s="96" t="s">
        <v>699</v>
      </c>
      <c r="D293" s="97">
        <v>1</v>
      </c>
      <c r="E293" s="350" t="s">
        <v>700</v>
      </c>
      <c r="F293" s="339">
        <f t="shared" si="69"/>
        <v>3.3622208849584614</v>
      </c>
      <c r="G293" s="372">
        <f>I528*M293</f>
        <v>3.3622208849584614</v>
      </c>
      <c r="H293" s="308">
        <v>13.79</v>
      </c>
      <c r="I293" s="114">
        <f t="shared" si="70"/>
        <v>13.79</v>
      </c>
      <c r="J293" s="39"/>
      <c r="K293" s="187">
        <f t="shared" si="71"/>
        <v>1.7646208240612894E-3</v>
      </c>
      <c r="L293" s="188">
        <f t="shared" si="72"/>
        <v>0.77487200420744973</v>
      </c>
      <c r="M293" s="189">
        <f t="shared" si="73"/>
        <v>1.3748066531466398E-5</v>
      </c>
      <c r="N293" s="190">
        <f t="shared" si="74"/>
        <v>6.0369863723452955E-3</v>
      </c>
      <c r="O293" s="39"/>
      <c r="P293" s="262">
        <v>0</v>
      </c>
      <c r="Q293" s="510"/>
      <c r="R293" s="262">
        <v>0</v>
      </c>
      <c r="S293" s="510"/>
      <c r="T293" s="262">
        <v>0</v>
      </c>
      <c r="U293" s="521"/>
      <c r="V293" s="262">
        <v>0</v>
      </c>
      <c r="W293" s="510"/>
      <c r="X293" s="262">
        <v>0</v>
      </c>
      <c r="Y293" s="510"/>
    </row>
    <row r="294" spans="1:25" ht="12" customHeight="1">
      <c r="B294" s="86" t="s">
        <v>701</v>
      </c>
      <c r="C294" s="96" t="s">
        <v>702</v>
      </c>
      <c r="D294" s="97">
        <v>3</v>
      </c>
      <c r="E294" s="350" t="s">
        <v>703</v>
      </c>
      <c r="F294" s="339">
        <f t="shared" si="69"/>
        <v>31.786275327921299</v>
      </c>
      <c r="G294" s="372">
        <f>I528*M294</f>
        <v>95.358825983763893</v>
      </c>
      <c r="H294" s="308">
        <v>130.37</v>
      </c>
      <c r="I294" s="114">
        <f t="shared" si="70"/>
        <v>391.11</v>
      </c>
      <c r="J294" s="39"/>
      <c r="K294" s="187">
        <f t="shared" si="71"/>
        <v>5.0047922443699128E-2</v>
      </c>
      <c r="L294" s="188">
        <f t="shared" si="72"/>
        <v>0.82491992665114888</v>
      </c>
      <c r="M294" s="189">
        <f t="shared" si="73"/>
        <v>3.8992068898635417E-4</v>
      </c>
      <c r="N294" s="190">
        <f t="shared" si="74"/>
        <v>6.4269070613316498E-3</v>
      </c>
      <c r="O294" s="39"/>
      <c r="P294" s="262">
        <v>0</v>
      </c>
      <c r="Q294" s="510"/>
      <c r="R294" s="262">
        <v>0</v>
      </c>
      <c r="S294" s="510"/>
      <c r="T294" s="262">
        <v>0</v>
      </c>
      <c r="U294" s="521"/>
      <c r="V294" s="262">
        <v>0</v>
      </c>
      <c r="W294" s="510"/>
      <c r="X294" s="262">
        <v>0</v>
      </c>
      <c r="Y294" s="510"/>
    </row>
    <row r="295" spans="1:25" ht="12" customHeight="1">
      <c r="B295" s="86" t="s">
        <v>704</v>
      </c>
      <c r="C295" s="96" t="s">
        <v>705</v>
      </c>
      <c r="D295" s="97">
        <v>11</v>
      </c>
      <c r="E295" s="350" t="s">
        <v>706</v>
      </c>
      <c r="F295" s="339">
        <f t="shared" si="69"/>
        <v>3.9498171382398168</v>
      </c>
      <c r="G295" s="372">
        <f>I528*M295</f>
        <v>43.447988520637985</v>
      </c>
      <c r="H295" s="308">
        <v>16.2</v>
      </c>
      <c r="I295" s="114">
        <f t="shared" si="70"/>
        <v>178.2</v>
      </c>
      <c r="J295" s="39"/>
      <c r="K295" s="187">
        <f t="shared" si="71"/>
        <v>2.2803149445084974E-2</v>
      </c>
      <c r="L295" s="188">
        <f t="shared" si="72"/>
        <v>0.84772307609623387</v>
      </c>
      <c r="M295" s="189">
        <f t="shared" si="73"/>
        <v>1.7765811862997187E-4</v>
      </c>
      <c r="N295" s="190">
        <f t="shared" si="74"/>
        <v>6.6045651799616217E-3</v>
      </c>
      <c r="O295" s="39"/>
      <c r="P295" s="262">
        <v>0</v>
      </c>
      <c r="Q295" s="510"/>
      <c r="R295" s="262">
        <v>0</v>
      </c>
      <c r="S295" s="510"/>
      <c r="T295" s="262">
        <v>0</v>
      </c>
      <c r="U295" s="521"/>
      <c r="V295" s="262">
        <v>0</v>
      </c>
      <c r="W295" s="510"/>
      <c r="X295" s="262">
        <v>0</v>
      </c>
      <c r="Y295" s="510"/>
    </row>
    <row r="296" spans="1:25" ht="12" customHeight="1">
      <c r="B296" s="86" t="s">
        <v>707</v>
      </c>
      <c r="C296" s="96" t="s">
        <v>708</v>
      </c>
      <c r="D296" s="97">
        <v>10</v>
      </c>
      <c r="E296" s="350" t="s">
        <v>709</v>
      </c>
      <c r="F296" s="339">
        <f t="shared" si="69"/>
        <v>13.434254587469994</v>
      </c>
      <c r="G296" s="372">
        <f>I528*M296</f>
        <v>134.34254587469994</v>
      </c>
      <c r="H296" s="308">
        <v>55.1</v>
      </c>
      <c r="I296" s="114">
        <f t="shared" si="70"/>
        <v>551</v>
      </c>
      <c r="J296" s="39"/>
      <c r="K296" s="187">
        <f t="shared" si="71"/>
        <v>7.0508054681491697E-2</v>
      </c>
      <c r="L296" s="188">
        <f t="shared" si="72"/>
        <v>0.91823113077772556</v>
      </c>
      <c r="M296" s="189">
        <f t="shared" si="73"/>
        <v>5.4932448577505334E-4</v>
      </c>
      <c r="N296" s="190">
        <f t="shared" si="74"/>
        <v>7.1538896657366751E-3</v>
      </c>
      <c r="O296" s="39"/>
      <c r="P296" s="262">
        <v>0</v>
      </c>
      <c r="Q296" s="510"/>
      <c r="R296" s="262">
        <v>0</v>
      </c>
      <c r="S296" s="510"/>
      <c r="T296" s="262">
        <v>0</v>
      </c>
      <c r="U296" s="521"/>
      <c r="V296" s="262">
        <v>0</v>
      </c>
      <c r="W296" s="510"/>
      <c r="X296" s="262">
        <v>0</v>
      </c>
      <c r="Y296" s="510"/>
    </row>
    <row r="297" spans="1:25" ht="12" customHeight="1">
      <c r="B297" s="86" t="s">
        <v>710</v>
      </c>
      <c r="C297" s="96" t="s">
        <v>711</v>
      </c>
      <c r="D297" s="97">
        <v>10</v>
      </c>
      <c r="E297" s="350" t="s">
        <v>712</v>
      </c>
      <c r="F297" s="339">
        <f t="shared" si="69"/>
        <v>9.8794191630541626</v>
      </c>
      <c r="G297" s="372">
        <f>I528*M297</f>
        <v>98.794191630541619</v>
      </c>
      <c r="H297" s="308">
        <v>40.520000000000003</v>
      </c>
      <c r="I297" s="114">
        <f t="shared" si="70"/>
        <v>405.20000000000005</v>
      </c>
      <c r="J297" s="39"/>
      <c r="K297" s="187">
        <f t="shared" si="71"/>
        <v>5.1850932408240361E-2</v>
      </c>
      <c r="L297" s="188">
        <f t="shared" si="72"/>
        <v>0.9700820631859659</v>
      </c>
      <c r="M297" s="189">
        <f t="shared" si="73"/>
        <v>4.0396784325962188E-4</v>
      </c>
      <c r="N297" s="190">
        <f t="shared" si="74"/>
        <v>7.5578575089962968E-3</v>
      </c>
      <c r="O297" s="39"/>
      <c r="P297" s="262">
        <v>0</v>
      </c>
      <c r="Q297" s="510"/>
      <c r="R297" s="262">
        <v>0</v>
      </c>
      <c r="S297" s="510"/>
      <c r="T297" s="262">
        <v>0</v>
      </c>
      <c r="U297" s="521"/>
      <c r="V297" s="262">
        <v>0</v>
      </c>
      <c r="W297" s="510"/>
      <c r="X297" s="262">
        <v>0</v>
      </c>
      <c r="Y297" s="510"/>
    </row>
    <row r="298" spans="1:25" ht="12" customHeight="1" thickBot="1">
      <c r="B298" s="215" t="s">
        <v>713</v>
      </c>
      <c r="C298" s="216" t="s">
        <v>714</v>
      </c>
      <c r="D298" s="148">
        <v>10</v>
      </c>
      <c r="E298" s="360" t="s">
        <v>715</v>
      </c>
      <c r="F298" s="344">
        <f t="shared" si="69"/>
        <v>5.7004151044473401</v>
      </c>
      <c r="G298" s="379">
        <f>I528*M298</f>
        <v>57.004151044473403</v>
      </c>
      <c r="H298" s="314">
        <v>23.38</v>
      </c>
      <c r="I298" s="149">
        <f t="shared" si="70"/>
        <v>233.79999999999998</v>
      </c>
      <c r="J298" s="39"/>
      <c r="K298" s="128">
        <f t="shared" si="71"/>
        <v>2.9917936814034044E-2</v>
      </c>
      <c r="L298" s="129">
        <f t="shared" si="72"/>
        <v>1</v>
      </c>
      <c r="M298" s="130">
        <f t="shared" si="73"/>
        <v>2.3308904677714603E-4</v>
      </c>
      <c r="N298" s="131">
        <f t="shared" si="74"/>
        <v>7.7909465557734429E-3</v>
      </c>
      <c r="O298" s="39"/>
      <c r="P298" s="286">
        <v>0</v>
      </c>
      <c r="Q298" s="513"/>
      <c r="R298" s="286">
        <v>0</v>
      </c>
      <c r="S298" s="513"/>
      <c r="T298" s="271">
        <v>0</v>
      </c>
      <c r="U298" s="524"/>
      <c r="V298" s="286">
        <v>0</v>
      </c>
      <c r="W298" s="513"/>
      <c r="X298" s="286">
        <v>0</v>
      </c>
      <c r="Y298" s="513"/>
    </row>
    <row r="299" spans="1:25" s="6" customFormat="1" ht="12" customHeight="1">
      <c r="A299" s="291" t="s">
        <v>70</v>
      </c>
      <c r="B299" s="211" t="s">
        <v>716</v>
      </c>
      <c r="C299" s="212" t="s">
        <v>717</v>
      </c>
      <c r="D299" s="213"/>
      <c r="E299" s="364"/>
      <c r="F299" s="395">
        <f>+G299/D$3</f>
        <v>0.30596070752840204</v>
      </c>
      <c r="G299" s="384">
        <f>SUM(G300:G303)</f>
        <v>281.73167909922785</v>
      </c>
      <c r="H299" s="320"/>
      <c r="I299" s="214">
        <f>SUM(I300:I303)</f>
        <v>1155.51</v>
      </c>
      <c r="J299" s="38"/>
      <c r="K299" s="550" t="str">
        <f>+C299</f>
        <v>Instalações Contra Incêndio</v>
      </c>
      <c r="L299" s="551"/>
      <c r="M299" s="167">
        <f t="shared" si="73"/>
        <v>1.1519962550960651E-3</v>
      </c>
      <c r="N299" s="168"/>
      <c r="O299" s="38"/>
      <c r="P299" s="270">
        <f>SUMPRODUCT( P300:P303,$M$300:$M$303)</f>
        <v>0</v>
      </c>
      <c r="Q299" s="512">
        <f>+P299/$M$299</f>
        <v>0</v>
      </c>
      <c r="R299" s="270">
        <f>SUMPRODUCT( R300:R303,$M$300:$M$303)</f>
        <v>0</v>
      </c>
      <c r="S299" s="512">
        <f>+R299/$M$299</f>
        <v>0</v>
      </c>
      <c r="T299" s="270">
        <f>SUMPRODUCT( T300:T303,$M$300:$M$303)</f>
        <v>0</v>
      </c>
      <c r="U299" s="523">
        <f>+T299/$M$299</f>
        <v>0</v>
      </c>
      <c r="V299" s="270">
        <f>SUMPRODUCT( V300:V303,$M$300:$M$303)</f>
        <v>0</v>
      </c>
      <c r="W299" s="512">
        <f>+V299/$M$299</f>
        <v>0</v>
      </c>
      <c r="X299" s="270">
        <f>SUMPRODUCT( X300:X303,$M$300:$M$303)</f>
        <v>0</v>
      </c>
      <c r="Y299" s="512">
        <f>+X299/$M$299</f>
        <v>0</v>
      </c>
    </row>
    <row r="300" spans="1:25" ht="12" customHeight="1">
      <c r="B300" s="86" t="s">
        <v>718</v>
      </c>
      <c r="C300" s="96" t="s">
        <v>719</v>
      </c>
      <c r="D300" s="97">
        <v>4</v>
      </c>
      <c r="E300" s="350" t="s">
        <v>720</v>
      </c>
      <c r="F300" s="339">
        <f t="shared" si="69"/>
        <v>21.992191720322936</v>
      </c>
      <c r="G300" s="372">
        <f>I528*M300</f>
        <v>87.968766881291742</v>
      </c>
      <c r="H300" s="308">
        <v>90.2</v>
      </c>
      <c r="I300" s="114">
        <f>$D300*$H300</f>
        <v>360.8</v>
      </c>
      <c r="J300" s="39"/>
      <c r="K300" s="187">
        <f>+I300/$I$299</f>
        <v>0.31224307881368402</v>
      </c>
      <c r="L300" s="188">
        <f>+K300</f>
        <v>0.31224307881368402</v>
      </c>
      <c r="M300" s="189">
        <f t="shared" si="73"/>
        <v>3.5970285747302953E-4</v>
      </c>
      <c r="N300" s="190">
        <f>+M300</f>
        <v>3.5970285747302953E-4</v>
      </c>
      <c r="O300" s="39"/>
      <c r="P300" s="262">
        <v>0</v>
      </c>
      <c r="Q300" s="510"/>
      <c r="R300" s="262">
        <v>0</v>
      </c>
      <c r="S300" s="510"/>
      <c r="T300" s="262">
        <v>0</v>
      </c>
      <c r="U300" s="521"/>
      <c r="V300" s="262">
        <v>0</v>
      </c>
      <c r="W300" s="510"/>
      <c r="X300" s="262">
        <v>0</v>
      </c>
      <c r="Y300" s="510"/>
    </row>
    <row r="301" spans="1:25" ht="12" customHeight="1">
      <c r="B301" s="86" t="s">
        <v>721</v>
      </c>
      <c r="C301" s="96" t="s">
        <v>722</v>
      </c>
      <c r="D301" s="97">
        <v>4</v>
      </c>
      <c r="E301" s="350" t="s">
        <v>723</v>
      </c>
      <c r="F301" s="339">
        <f t="shared" si="69"/>
        <v>21.706927149227838</v>
      </c>
      <c r="G301" s="372">
        <f>I528*M301</f>
        <v>86.82770859691135</v>
      </c>
      <c r="H301" s="308">
        <v>89.03</v>
      </c>
      <c r="I301" s="114">
        <f>$D301*$H301</f>
        <v>356.12</v>
      </c>
      <c r="J301" s="39"/>
      <c r="K301" s="187">
        <f>+I301/$I$299</f>
        <v>0.30819291914392777</v>
      </c>
      <c r="L301" s="188">
        <f>+L300+K301</f>
        <v>0.62043599795761173</v>
      </c>
      <c r="M301" s="189">
        <f t="shared" si="73"/>
        <v>3.5503708870092925E-4</v>
      </c>
      <c r="N301" s="190">
        <f>+N300+M301</f>
        <v>7.1473994617395878E-4</v>
      </c>
      <c r="O301" s="39"/>
      <c r="P301" s="262">
        <v>0</v>
      </c>
      <c r="Q301" s="510"/>
      <c r="R301" s="262">
        <v>0</v>
      </c>
      <c r="S301" s="510"/>
      <c r="T301" s="262">
        <v>0</v>
      </c>
      <c r="U301" s="521"/>
      <c r="V301" s="262">
        <v>0</v>
      </c>
      <c r="W301" s="510"/>
      <c r="X301" s="262">
        <v>0</v>
      </c>
      <c r="Y301" s="510"/>
    </row>
    <row r="302" spans="1:25" ht="12" customHeight="1">
      <c r="B302" s="222" t="s">
        <v>724</v>
      </c>
      <c r="C302" s="223" t="s">
        <v>725</v>
      </c>
      <c r="D302" s="224">
        <v>1</v>
      </c>
      <c r="E302" s="351" t="s">
        <v>726</v>
      </c>
      <c r="F302" s="345">
        <f t="shared" si="69"/>
        <v>70.484730647762262</v>
      </c>
      <c r="G302" s="352">
        <f>I528*M302</f>
        <v>70.484730647762262</v>
      </c>
      <c r="H302" s="317">
        <v>289.08999999999997</v>
      </c>
      <c r="I302" s="225">
        <f>$D302*$H302</f>
        <v>289.08999999999997</v>
      </c>
      <c r="J302" s="39"/>
      <c r="K302" s="194">
        <f>+I302/$I$299</f>
        <v>0.25018390148073144</v>
      </c>
      <c r="L302" s="195">
        <f>+L301+K302</f>
        <v>0.87061989943834317</v>
      </c>
      <c r="M302" s="196">
        <f t="shared" ref="M302:M307" si="75">+I302/$I$514</f>
        <v>2.8821091759112554E-4</v>
      </c>
      <c r="N302" s="197">
        <f>+N301+M302</f>
        <v>1.0029508637650843E-3</v>
      </c>
      <c r="O302" s="39"/>
      <c r="P302" s="265">
        <v>0</v>
      </c>
      <c r="Q302" s="510"/>
      <c r="R302" s="265">
        <v>0</v>
      </c>
      <c r="S302" s="510"/>
      <c r="T302" s="265">
        <v>0</v>
      </c>
      <c r="U302" s="521"/>
      <c r="V302" s="265">
        <v>0</v>
      </c>
      <c r="W302" s="510"/>
      <c r="X302" s="265">
        <v>0</v>
      </c>
      <c r="Y302" s="510"/>
    </row>
    <row r="303" spans="1:25" ht="12" customHeight="1" thickBot="1">
      <c r="B303" s="226" t="s">
        <v>727</v>
      </c>
      <c r="C303" s="227" t="s">
        <v>728</v>
      </c>
      <c r="D303" s="228">
        <v>2</v>
      </c>
      <c r="E303" s="368" t="s">
        <v>729</v>
      </c>
      <c r="F303" s="347">
        <f t="shared" si="69"/>
        <v>18.225236486631257</v>
      </c>
      <c r="G303" s="386">
        <f>I528*M303</f>
        <v>36.450472973262514</v>
      </c>
      <c r="H303" s="324">
        <v>74.75</v>
      </c>
      <c r="I303" s="229">
        <f>$D303*$H303</f>
        <v>149.5</v>
      </c>
      <c r="J303" s="39"/>
      <c r="K303" s="128">
        <f>+I303/$I$299</f>
        <v>0.12938010056165675</v>
      </c>
      <c r="L303" s="129">
        <f>+L302+K303</f>
        <v>0.99999999999999989</v>
      </c>
      <c r="M303" s="130">
        <f t="shared" si="75"/>
        <v>1.4904539133098091E-4</v>
      </c>
      <c r="N303" s="131">
        <f>+N302+M303</f>
        <v>1.1519962550960651E-3</v>
      </c>
      <c r="O303" s="198"/>
      <c r="P303" s="286">
        <v>0</v>
      </c>
      <c r="Q303" s="513"/>
      <c r="R303" s="286">
        <v>0</v>
      </c>
      <c r="S303" s="513"/>
      <c r="T303" s="271">
        <v>0</v>
      </c>
      <c r="U303" s="524"/>
      <c r="V303" s="286">
        <v>0</v>
      </c>
      <c r="W303" s="513"/>
      <c r="X303" s="286">
        <v>0</v>
      </c>
      <c r="Y303" s="513"/>
    </row>
    <row r="304" spans="1:25" s="6" customFormat="1" ht="12.75" customHeight="1">
      <c r="A304" s="291" t="s">
        <v>70</v>
      </c>
      <c r="B304" s="211" t="s">
        <v>730</v>
      </c>
      <c r="C304" s="212" t="s">
        <v>731</v>
      </c>
      <c r="D304" s="213"/>
      <c r="E304" s="364"/>
      <c r="F304" s="395">
        <f>+G304/D$3</f>
        <v>27.915433312646275</v>
      </c>
      <c r="G304" s="384">
        <f>+G305+G309+G313+G317+G342+G349+G391+G403+G424+G496+G446+G481</f>
        <v>25704.810148617817</v>
      </c>
      <c r="H304" s="320"/>
      <c r="I304" s="214">
        <f>+I305+I309+I313+I317+I342+I349+I391+I403+I424+I496+I446+I481</f>
        <v>178994.61</v>
      </c>
      <c r="J304" s="38"/>
      <c r="K304" s="554" t="str">
        <f>+C304</f>
        <v>Inst. Elétricas, Telec. e Informática</v>
      </c>
      <c r="L304" s="555"/>
      <c r="M304" s="192">
        <f t="shared" si="75"/>
        <v>0.17845031233168099</v>
      </c>
      <c r="N304" s="193"/>
      <c r="O304" s="38"/>
      <c r="P304" s="268">
        <f>+(P305+P309+P313+P317+P342+P349+P391+P403+P424+P446+P481+P496)</f>
        <v>0</v>
      </c>
      <c r="Q304" s="302">
        <f>+P304/$M$304</f>
        <v>0</v>
      </c>
      <c r="R304" s="283">
        <f>+(R305+R309+R313+R317+R342+R349+R391+R403+R424+R446+R481+R496)</f>
        <v>4.055888988201849E-3</v>
      </c>
      <c r="S304" s="302">
        <f>+R304/$M$304</f>
        <v>2.2728393888508711E-2</v>
      </c>
      <c r="T304" s="256">
        <f>+(T305+T309+T313+T317+T342+T349+T391+T403+T424+T446+T481+T496)</f>
        <v>3.4778371248267805E-2</v>
      </c>
      <c r="U304" s="256">
        <f>+T304/$M$304</f>
        <v>0.19489106403818529</v>
      </c>
      <c r="V304" s="283">
        <f>+(V305+V309+V313+V317+V342+V349+V391+V403+V424+V446+V481+V496)</f>
        <v>5.3525160995599078E-2</v>
      </c>
      <c r="W304" s="302">
        <f>+V304/$M$304</f>
        <v>0.29994433910607698</v>
      </c>
      <c r="X304" s="283">
        <f>+(X305+X309+X313+X317+X342+X349+X391+X403+X424+X446+X481+X496)</f>
        <v>5.3525160995599078E-2</v>
      </c>
      <c r="Y304" s="302">
        <f>+X304/$M$304</f>
        <v>0.29994433910607698</v>
      </c>
    </row>
    <row r="305" spans="1:25" ht="12" customHeight="1">
      <c r="A305" s="291" t="s">
        <v>70</v>
      </c>
      <c r="B305" s="158"/>
      <c r="C305" s="159" t="s">
        <v>491</v>
      </c>
      <c r="D305" s="160"/>
      <c r="E305" s="359"/>
      <c r="F305" s="394">
        <f>+G305/D$3</f>
        <v>4.2199917413261305</v>
      </c>
      <c r="G305" s="377">
        <f>SUM(G306:G308)</f>
        <v>3885.8105953305139</v>
      </c>
      <c r="H305" s="313"/>
      <c r="I305" s="161">
        <f>SUM(I306:I308)</f>
        <v>15937.48</v>
      </c>
      <c r="J305" s="39"/>
      <c r="K305" s="552" t="str">
        <f>+C305</f>
        <v>Luminárias da Ilumini ou similar, com Aletas e Refletor em Alum Polido, Lâmp Phillips ou similar, Reator Elet de Alto Rendimento</v>
      </c>
      <c r="L305" s="553"/>
      <c r="M305" s="170">
        <f t="shared" si="75"/>
        <v>1.5889016344011249E-2</v>
      </c>
      <c r="N305" s="171"/>
      <c r="O305" s="39"/>
      <c r="P305" s="272">
        <f>SUMPRODUCT( P306:P308,$M$306:$M$308)</f>
        <v>0</v>
      </c>
      <c r="Q305" s="510">
        <f>+P305/$M$305</f>
        <v>0</v>
      </c>
      <c r="R305" s="270">
        <f>SUMPRODUCT( R306:R308,$M$306:$M$308)</f>
        <v>0</v>
      </c>
      <c r="S305" s="510">
        <f>+R305/$M$305</f>
        <v>0</v>
      </c>
      <c r="T305" s="270">
        <f>SUMPRODUCT( T306:T308,$M$306:$M$308)</f>
        <v>0</v>
      </c>
      <c r="U305" s="521">
        <f>+T305/$M$305</f>
        <v>0</v>
      </c>
      <c r="V305" s="270">
        <f>SUMPRODUCT( V306:V308,$M$306:$M$308)</f>
        <v>0</v>
      </c>
      <c r="W305" s="510">
        <f>+V305/$M$305</f>
        <v>0</v>
      </c>
      <c r="X305" s="270">
        <f>SUMPRODUCT( X306:X308,$M$306:$M$308)</f>
        <v>0</v>
      </c>
      <c r="Y305" s="510">
        <f>+X305/$M$305</f>
        <v>0</v>
      </c>
    </row>
    <row r="306" spans="1:25" ht="12" customHeight="1">
      <c r="B306" s="86" t="s">
        <v>732</v>
      </c>
      <c r="C306" s="96" t="s">
        <v>733</v>
      </c>
      <c r="D306" s="97">
        <v>30</v>
      </c>
      <c r="E306" s="350" t="s">
        <v>734</v>
      </c>
      <c r="F306" s="339">
        <f t="shared" si="69"/>
        <v>21.804453498320179</v>
      </c>
      <c r="G306" s="372">
        <f>I528*M306</f>
        <v>654.13360494960534</v>
      </c>
      <c r="H306" s="308">
        <v>89.43</v>
      </c>
      <c r="I306" s="114">
        <f>$D306*$H306</f>
        <v>2682.9</v>
      </c>
      <c r="J306" s="39"/>
      <c r="K306" s="23">
        <f>+I306/$I$305</f>
        <v>0.1683390347783966</v>
      </c>
      <c r="L306" s="25">
        <f>+K306</f>
        <v>0.1683390347783966</v>
      </c>
      <c r="M306" s="26">
        <f t="shared" si="75"/>
        <v>2.6747416749290215E-3</v>
      </c>
      <c r="N306" s="74">
        <f>+M306</f>
        <v>2.6747416749290215E-3</v>
      </c>
      <c r="O306" s="39"/>
      <c r="P306" s="257">
        <v>0</v>
      </c>
      <c r="Q306" s="510"/>
      <c r="R306" s="257">
        <v>0</v>
      </c>
      <c r="S306" s="510"/>
      <c r="T306" s="257">
        <v>0</v>
      </c>
      <c r="U306" s="521"/>
      <c r="V306" s="257">
        <v>0</v>
      </c>
      <c r="W306" s="510"/>
      <c r="X306" s="257">
        <v>0</v>
      </c>
      <c r="Y306" s="510"/>
    </row>
    <row r="307" spans="1:25" ht="12" customHeight="1">
      <c r="B307" s="86" t="s">
        <v>735</v>
      </c>
      <c r="C307" s="96" t="s">
        <v>736</v>
      </c>
      <c r="D307" s="97">
        <v>125</v>
      </c>
      <c r="E307" s="350" t="s">
        <v>737</v>
      </c>
      <c r="F307" s="339">
        <f t="shared" si="69"/>
        <v>23.06010524288407</v>
      </c>
      <c r="G307" s="372">
        <f>I528*M307</f>
        <v>2882.5131553605088</v>
      </c>
      <c r="H307" s="308">
        <v>94.58</v>
      </c>
      <c r="I307" s="114">
        <f>$D307*$H307</f>
        <v>11822.5</v>
      </c>
      <c r="J307" s="39"/>
      <c r="K307" s="62">
        <f>+I307/$I$305</f>
        <v>0.74180485246099137</v>
      </c>
      <c r="L307" s="63">
        <f>+L306+K307</f>
        <v>0.91014388723938799</v>
      </c>
      <c r="M307" s="64">
        <f t="shared" si="75"/>
        <v>1.1786549424819544E-2</v>
      </c>
      <c r="N307" s="75">
        <f>+N306+M307</f>
        <v>1.4461291099748566E-2</v>
      </c>
      <c r="O307" s="39"/>
      <c r="P307" s="258">
        <v>0</v>
      </c>
      <c r="Q307" s="510"/>
      <c r="R307" s="258">
        <v>0</v>
      </c>
      <c r="S307" s="510"/>
      <c r="T307" s="258">
        <v>0</v>
      </c>
      <c r="U307" s="521"/>
      <c r="V307" s="258">
        <v>0</v>
      </c>
      <c r="W307" s="510"/>
      <c r="X307" s="258">
        <v>0</v>
      </c>
      <c r="Y307" s="510"/>
    </row>
    <row r="308" spans="1:25" ht="12" customHeight="1">
      <c r="B308" s="86" t="s">
        <v>738</v>
      </c>
      <c r="C308" s="96" t="s">
        <v>739</v>
      </c>
      <c r="D308" s="97">
        <v>17</v>
      </c>
      <c r="E308" s="350" t="s">
        <v>740</v>
      </c>
      <c r="F308" s="345">
        <f t="shared" si="69"/>
        <v>20.539049118847046</v>
      </c>
      <c r="G308" s="372">
        <f>I528*M308</f>
        <v>349.1638350203998</v>
      </c>
      <c r="H308" s="308">
        <v>84.24</v>
      </c>
      <c r="I308" s="114">
        <f>$D308*$H308</f>
        <v>1432.08</v>
      </c>
      <c r="J308" s="39"/>
      <c r="K308" s="62">
        <f>+I308/$I$305</f>
        <v>8.9856112760612089E-2</v>
      </c>
      <c r="L308" s="63">
        <f>+L307+K308</f>
        <v>1</v>
      </c>
      <c r="M308" s="64">
        <f t="shared" ref="M308:M319" si="76">+I308/$I$514</f>
        <v>1.4277252442626831E-3</v>
      </c>
      <c r="N308" s="157">
        <f>+N307+M308</f>
        <v>1.5889016344011249E-2</v>
      </c>
      <c r="O308" s="39"/>
      <c r="P308" s="258">
        <v>0</v>
      </c>
      <c r="Q308" s="511"/>
      <c r="R308" s="258">
        <v>0</v>
      </c>
      <c r="S308" s="511"/>
      <c r="T308" s="258">
        <v>0</v>
      </c>
      <c r="U308" s="522"/>
      <c r="V308" s="258">
        <v>0</v>
      </c>
      <c r="W308" s="511"/>
      <c r="X308" s="258">
        <v>0</v>
      </c>
      <c r="Y308" s="511"/>
    </row>
    <row r="309" spans="1:25" ht="12" customHeight="1">
      <c r="A309" s="291" t="s">
        <v>70</v>
      </c>
      <c r="B309" s="158"/>
      <c r="C309" s="159" t="s">
        <v>581</v>
      </c>
      <c r="D309" s="160"/>
      <c r="E309" s="359"/>
      <c r="F309" s="394">
        <f>+G309/D$3</f>
        <v>0.44782145184512512</v>
      </c>
      <c r="G309" s="377">
        <f>SUM(G310:G312)</f>
        <v>412.35847107350963</v>
      </c>
      <c r="H309" s="313"/>
      <c r="I309" s="161">
        <f>SUM(I310:I312)</f>
        <v>1691.27</v>
      </c>
      <c r="J309" s="39"/>
      <c r="K309" s="552" t="str">
        <f>+C309</f>
        <v>Incendio e Segurança</v>
      </c>
      <c r="L309" s="553"/>
      <c r="M309" s="170">
        <f t="shared" si="76"/>
        <v>1.6861270835876125E-3</v>
      </c>
      <c r="N309" s="171"/>
      <c r="O309" s="38"/>
      <c r="P309" s="261">
        <f>SUMPRODUCT( P310:P312,$M$310:$M$312)</f>
        <v>0</v>
      </c>
      <c r="Q309" s="510">
        <f>+P309/$M$309</f>
        <v>0</v>
      </c>
      <c r="R309" s="261">
        <f>SUMPRODUCT( R310:R312,$M$310:$M$312)</f>
        <v>0</v>
      </c>
      <c r="S309" s="510">
        <f>+R309/$M$309</f>
        <v>0</v>
      </c>
      <c r="T309" s="261">
        <f>SUMPRODUCT( T310:T312,$M$310:$M$312)</f>
        <v>0</v>
      </c>
      <c r="U309" s="521">
        <f>+T309/$M$309</f>
        <v>0</v>
      </c>
      <c r="V309" s="261">
        <f>SUMPRODUCT( V310:V312,$M$310:$M$312)</f>
        <v>0</v>
      </c>
      <c r="W309" s="510">
        <f>+V309/$M$309</f>
        <v>0</v>
      </c>
      <c r="X309" s="261">
        <f>SUMPRODUCT( X310:X312,$M$310:$M$312)</f>
        <v>0</v>
      </c>
      <c r="Y309" s="510">
        <f>+X309/$M$309</f>
        <v>0</v>
      </c>
    </row>
    <row r="310" spans="1:25" ht="12" customHeight="1">
      <c r="B310" s="86" t="s">
        <v>741</v>
      </c>
      <c r="C310" s="96" t="s">
        <v>742</v>
      </c>
      <c r="D310" s="97">
        <v>7</v>
      </c>
      <c r="E310" s="350" t="s">
        <v>743</v>
      </c>
      <c r="F310" s="346">
        <f t="shared" si="69"/>
        <v>26.432078762751765</v>
      </c>
      <c r="G310" s="372">
        <f>I528*M310</f>
        <v>185.02455133926236</v>
      </c>
      <c r="H310" s="308">
        <v>108.41</v>
      </c>
      <c r="I310" s="114">
        <f>$D310*$H310</f>
        <v>758.87</v>
      </c>
      <c r="J310" s="39"/>
      <c r="K310" s="187">
        <f>+I310/$I$309</f>
        <v>0.44869831546707506</v>
      </c>
      <c r="L310" s="188">
        <f>+K310</f>
        <v>0.44869831546707506</v>
      </c>
      <c r="M310" s="189">
        <f t="shared" si="76"/>
        <v>7.5656238206917384E-4</v>
      </c>
      <c r="N310" s="190">
        <f>+M310</f>
        <v>7.5656238206917384E-4</v>
      </c>
      <c r="O310" s="39"/>
      <c r="P310" s="262">
        <v>0</v>
      </c>
      <c r="Q310" s="510"/>
      <c r="R310" s="262">
        <v>0</v>
      </c>
      <c r="S310" s="510"/>
      <c r="T310" s="262">
        <v>0</v>
      </c>
      <c r="U310" s="521"/>
      <c r="V310" s="262">
        <v>0</v>
      </c>
      <c r="W310" s="510"/>
      <c r="X310" s="262">
        <v>0</v>
      </c>
      <c r="Y310" s="510"/>
    </row>
    <row r="311" spans="1:25" ht="12" customHeight="1">
      <c r="B311" s="86" t="s">
        <v>744</v>
      </c>
      <c r="C311" s="96" t="s">
        <v>745</v>
      </c>
      <c r="D311" s="97">
        <v>9</v>
      </c>
      <c r="E311" s="350" t="s">
        <v>746</v>
      </c>
      <c r="F311" s="339">
        <f t="shared" si="69"/>
        <v>12.62966220745818</v>
      </c>
      <c r="G311" s="372">
        <f>I528*M311</f>
        <v>113.66695986712362</v>
      </c>
      <c r="H311" s="308">
        <v>51.8</v>
      </c>
      <c r="I311" s="114">
        <f>$D311*$H311</f>
        <v>466.2</v>
      </c>
      <c r="J311" s="39"/>
      <c r="K311" s="187">
        <f>+I311/$I$309</f>
        <v>0.27565084226646247</v>
      </c>
      <c r="L311" s="188">
        <f>+L310+K311</f>
        <v>0.72434915773353747</v>
      </c>
      <c r="M311" s="189">
        <f t="shared" si="76"/>
        <v>4.6478235075921937E-4</v>
      </c>
      <c r="N311" s="190">
        <f>+N310+M311</f>
        <v>1.2213447328283931E-3</v>
      </c>
      <c r="O311" s="39"/>
      <c r="P311" s="262">
        <v>0</v>
      </c>
      <c r="Q311" s="510"/>
      <c r="R311" s="262">
        <v>0</v>
      </c>
      <c r="S311" s="510"/>
      <c r="T311" s="262">
        <v>0</v>
      </c>
      <c r="U311" s="521"/>
      <c r="V311" s="262">
        <v>0</v>
      </c>
      <c r="W311" s="510"/>
      <c r="X311" s="262">
        <v>0</v>
      </c>
      <c r="Y311" s="510"/>
    </row>
    <row r="312" spans="1:25" ht="12" customHeight="1">
      <c r="B312" s="86" t="s">
        <v>747</v>
      </c>
      <c r="C312" s="96" t="s">
        <v>748</v>
      </c>
      <c r="D312" s="97">
        <v>9</v>
      </c>
      <c r="E312" s="350" t="s">
        <v>749</v>
      </c>
      <c r="F312" s="345">
        <f t="shared" si="69"/>
        <v>12.62966220745818</v>
      </c>
      <c r="G312" s="372">
        <f>I528*M312</f>
        <v>113.66695986712362</v>
      </c>
      <c r="H312" s="308">
        <v>51.8</v>
      </c>
      <c r="I312" s="114">
        <f>$D312*$H312</f>
        <v>466.2</v>
      </c>
      <c r="J312" s="39"/>
      <c r="K312" s="187">
        <f>+I312/$I$309</f>
        <v>0.27565084226646247</v>
      </c>
      <c r="L312" s="188">
        <f>+L311+K312</f>
        <v>1</v>
      </c>
      <c r="M312" s="189">
        <f t="shared" si="76"/>
        <v>4.6478235075921937E-4</v>
      </c>
      <c r="N312" s="191">
        <f>+N311+M312</f>
        <v>1.6861270835876125E-3</v>
      </c>
      <c r="O312" s="39"/>
      <c r="P312" s="262">
        <v>0</v>
      </c>
      <c r="Q312" s="511"/>
      <c r="R312" s="262">
        <v>0</v>
      </c>
      <c r="S312" s="511"/>
      <c r="T312" s="262">
        <v>0</v>
      </c>
      <c r="U312" s="522"/>
      <c r="V312" s="262">
        <v>0</v>
      </c>
      <c r="W312" s="511"/>
      <c r="X312" s="262">
        <v>0</v>
      </c>
      <c r="Y312" s="511"/>
    </row>
    <row r="313" spans="1:25" ht="12" customHeight="1">
      <c r="A313" s="291" t="s">
        <v>70</v>
      </c>
      <c r="B313" s="158"/>
      <c r="C313" s="159" t="s">
        <v>750</v>
      </c>
      <c r="D313" s="160"/>
      <c r="E313" s="359"/>
      <c r="F313" s="394">
        <f>+G313/D$3</f>
        <v>0.12707255077840557</v>
      </c>
      <c r="G313" s="377">
        <f>SUM(G314:G316)</f>
        <v>117.00967548226362</v>
      </c>
      <c r="H313" s="313"/>
      <c r="I313" s="161">
        <f>SUM(I314:I316)</f>
        <v>479.90999999999997</v>
      </c>
      <c r="J313" s="39"/>
      <c r="K313" s="552" t="str">
        <f>+C313</f>
        <v>Linha Transmobil ou Similar</v>
      </c>
      <c r="L313" s="553"/>
      <c r="M313" s="170">
        <f t="shared" si="76"/>
        <v>4.7845066055953876E-4</v>
      </c>
      <c r="N313" s="171"/>
      <c r="O313" s="38"/>
      <c r="P313" s="261">
        <f>SUMPRODUCT( P314:P316,$M$314:$M$316)</f>
        <v>0</v>
      </c>
      <c r="Q313" s="510">
        <f>+P313/$M$313</f>
        <v>0</v>
      </c>
      <c r="R313" s="261">
        <f>SUMPRODUCT( R314:R316,$M$314:$M$316)</f>
        <v>0</v>
      </c>
      <c r="S313" s="510">
        <f>+R313/$M$313</f>
        <v>0</v>
      </c>
      <c r="T313" s="261">
        <f>SUMPRODUCT( T314:T316,$M$314:$M$316)</f>
        <v>0</v>
      </c>
      <c r="U313" s="521">
        <f>+T313/$M$313</f>
        <v>0</v>
      </c>
      <c r="V313" s="261">
        <f>SUMPRODUCT( V314:V316,$M$314:$M$316)</f>
        <v>0</v>
      </c>
      <c r="W313" s="510">
        <f>+V313/$M$313</f>
        <v>0</v>
      </c>
      <c r="X313" s="261">
        <f>SUMPRODUCT( X314:X316,$M$314:$M$316)</f>
        <v>0</v>
      </c>
      <c r="Y313" s="510">
        <f>+X313/$M$313</f>
        <v>0</v>
      </c>
    </row>
    <row r="314" spans="1:25" ht="12" customHeight="1">
      <c r="B314" s="86" t="s">
        <v>751</v>
      </c>
      <c r="C314" s="96" t="s">
        <v>752</v>
      </c>
      <c r="D314" s="97">
        <v>30</v>
      </c>
      <c r="E314" s="350" t="s">
        <v>753</v>
      </c>
      <c r="F314" s="346">
        <f t="shared" si="69"/>
        <v>1.7701032360259921</v>
      </c>
      <c r="G314" s="372">
        <f>I528*M314</f>
        <v>53.103097080779762</v>
      </c>
      <c r="H314" s="308">
        <v>7.26</v>
      </c>
      <c r="I314" s="114">
        <f>$D314*$H314</f>
        <v>217.79999999999998</v>
      </c>
      <c r="J314" s="39"/>
      <c r="K314" s="187">
        <f>+I314/$I$313</f>
        <v>0.45383509408014</v>
      </c>
      <c r="L314" s="188">
        <f>+K314</f>
        <v>0.45383509408014</v>
      </c>
      <c r="M314" s="189">
        <f t="shared" si="76"/>
        <v>2.1713770054774341E-4</v>
      </c>
      <c r="N314" s="190">
        <f>+M314</f>
        <v>2.1713770054774341E-4</v>
      </c>
      <c r="O314" s="39"/>
      <c r="P314" s="262">
        <v>0</v>
      </c>
      <c r="Q314" s="510"/>
      <c r="R314" s="262">
        <v>0</v>
      </c>
      <c r="S314" s="510"/>
      <c r="T314" s="262">
        <v>0</v>
      </c>
      <c r="U314" s="521"/>
      <c r="V314" s="262">
        <v>0</v>
      </c>
      <c r="W314" s="510"/>
      <c r="X314" s="262">
        <v>0</v>
      </c>
      <c r="Y314" s="510"/>
    </row>
    <row r="315" spans="1:25" ht="12" customHeight="1">
      <c r="B315" s="86" t="s">
        <v>754</v>
      </c>
      <c r="C315" s="96" t="s">
        <v>755</v>
      </c>
      <c r="D315" s="97">
        <v>30</v>
      </c>
      <c r="E315" s="350" t="s">
        <v>756</v>
      </c>
      <c r="F315" s="339">
        <f t="shared" si="69"/>
        <v>0.43399225346091819</v>
      </c>
      <c r="G315" s="372">
        <f>I528*M315</f>
        <v>13.019767603827546</v>
      </c>
      <c r="H315" s="308">
        <v>1.78</v>
      </c>
      <c r="I315" s="114">
        <f>$D315*$H315</f>
        <v>53.4</v>
      </c>
      <c r="J315" s="39"/>
      <c r="K315" s="187">
        <f>+I315/$I$313</f>
        <v>0.11127086328686629</v>
      </c>
      <c r="L315" s="188">
        <f>+L314+K315</f>
        <v>0.56510595736700631</v>
      </c>
      <c r="M315" s="189">
        <f t="shared" si="76"/>
        <v>5.3237618040631306E-5</v>
      </c>
      <c r="N315" s="190">
        <f>+N314+M315</f>
        <v>2.703753185883747E-4</v>
      </c>
      <c r="O315" s="39"/>
      <c r="P315" s="262">
        <v>0</v>
      </c>
      <c r="Q315" s="510"/>
      <c r="R315" s="262">
        <v>0</v>
      </c>
      <c r="S315" s="510"/>
      <c r="T315" s="262">
        <v>0</v>
      </c>
      <c r="U315" s="521"/>
      <c r="V315" s="262">
        <v>0</v>
      </c>
      <c r="W315" s="510"/>
      <c r="X315" s="262">
        <v>0</v>
      </c>
      <c r="Y315" s="510"/>
    </row>
    <row r="316" spans="1:25" ht="12" customHeight="1">
      <c r="B316" s="86" t="s">
        <v>757</v>
      </c>
      <c r="C316" s="96" t="s">
        <v>758</v>
      </c>
      <c r="D316" s="97">
        <v>9</v>
      </c>
      <c r="E316" s="350" t="s">
        <v>759</v>
      </c>
      <c r="F316" s="345">
        <f t="shared" si="69"/>
        <v>5.6540900886284797</v>
      </c>
      <c r="G316" s="372">
        <f>I528*M316</f>
        <v>50.886810797656317</v>
      </c>
      <c r="H316" s="308">
        <v>23.19</v>
      </c>
      <c r="I316" s="114">
        <f>$D316*$H316</f>
        <v>208.71</v>
      </c>
      <c r="J316" s="39"/>
      <c r="K316" s="187">
        <f>+I316/$I$313</f>
        <v>0.43489404263299375</v>
      </c>
      <c r="L316" s="188">
        <f>+L315+K316</f>
        <v>1</v>
      </c>
      <c r="M316" s="189">
        <f t="shared" si="76"/>
        <v>2.0807534197116406E-4</v>
      </c>
      <c r="N316" s="191">
        <f>+N315+M316</f>
        <v>4.7845066055953876E-4</v>
      </c>
      <c r="O316" s="39"/>
      <c r="P316" s="262">
        <v>0</v>
      </c>
      <c r="Q316" s="511"/>
      <c r="R316" s="262">
        <v>0</v>
      </c>
      <c r="S316" s="511"/>
      <c r="T316" s="262">
        <v>0</v>
      </c>
      <c r="U316" s="522"/>
      <c r="V316" s="262">
        <v>0</v>
      </c>
      <c r="W316" s="511"/>
      <c r="X316" s="262">
        <v>0</v>
      </c>
      <c r="Y316" s="511"/>
    </row>
    <row r="317" spans="1:25" ht="12" customHeight="1">
      <c r="A317" s="291" t="s">
        <v>70</v>
      </c>
      <c r="B317" s="158"/>
      <c r="C317" s="159" t="s">
        <v>760</v>
      </c>
      <c r="D317" s="160"/>
      <c r="E317" s="359"/>
      <c r="F317" s="394">
        <f>+G317/D$3</f>
        <v>5.9656737783735165</v>
      </c>
      <c r="G317" s="377">
        <f>SUM(G318:G341)</f>
        <v>5493.2520718641172</v>
      </c>
      <c r="H317" s="313"/>
      <c r="I317" s="161">
        <f>SUM(I318:I341)</f>
        <v>22530.329999999998</v>
      </c>
      <c r="J317" s="39"/>
      <c r="K317" s="552" t="str">
        <f>+C317</f>
        <v>Linha Pial ou similar</v>
      </c>
      <c r="L317" s="553"/>
      <c r="M317" s="170">
        <f t="shared" si="76"/>
        <v>2.246181840579357E-2</v>
      </c>
      <c r="N317" s="171"/>
      <c r="O317" s="38"/>
      <c r="P317" s="261">
        <f>SUMPRODUCT( P318:P341,$M$318:$M$341)</f>
        <v>0</v>
      </c>
      <c r="Q317" s="510">
        <f>+P317/$M$317</f>
        <v>0</v>
      </c>
      <c r="R317" s="261">
        <f>SUMPRODUCT( R318:R341,$M$318:$M$341)</f>
        <v>3.7394940357416474E-3</v>
      </c>
      <c r="S317" s="510">
        <f>+R317/$M$317</f>
        <v>0.16648224859555988</v>
      </c>
      <c r="T317" s="261">
        <f>SUMPRODUCT( T318:T341,$M$318:$M$341)</f>
        <v>7.4789880714832948E-3</v>
      </c>
      <c r="U317" s="521">
        <f>+T317/$M$317</f>
        <v>0.33296449719111976</v>
      </c>
      <c r="V317" s="261">
        <f>SUMPRODUCT( V318:V341,$M$318:$M$341)</f>
        <v>7.4789880714832948E-3</v>
      </c>
      <c r="W317" s="510">
        <f>+V317/$M$317</f>
        <v>0.33296449719111976</v>
      </c>
      <c r="X317" s="261">
        <f>SUMPRODUCT( X318:X341,$M$318:$M$341)</f>
        <v>7.4789880714832948E-3</v>
      </c>
      <c r="Y317" s="510">
        <f>+X317/$M$317</f>
        <v>0.33296449719111976</v>
      </c>
    </row>
    <row r="318" spans="1:25" ht="12" customHeight="1">
      <c r="B318" s="86" t="s">
        <v>761</v>
      </c>
      <c r="C318" s="96" t="s">
        <v>762</v>
      </c>
      <c r="D318" s="97">
        <v>29</v>
      </c>
      <c r="E318" s="350" t="s">
        <v>763</v>
      </c>
      <c r="F318" s="346">
        <f t="shared" si="69"/>
        <v>1.7701032360259921</v>
      </c>
      <c r="G318" s="372">
        <f>I528*M318</f>
        <v>51.332993844753773</v>
      </c>
      <c r="H318" s="308">
        <v>7.26</v>
      </c>
      <c r="I318" s="114">
        <f t="shared" ref="I318:I341" si="77">$D318*$H318</f>
        <v>210.54</v>
      </c>
      <c r="J318" s="39"/>
      <c r="K318" s="187">
        <f>+I318/$I$317</f>
        <v>9.3447366283583074E-3</v>
      </c>
      <c r="L318" s="188">
        <f>+K318</f>
        <v>9.3447366283583074E-3</v>
      </c>
      <c r="M318" s="189">
        <f t="shared" si="76"/>
        <v>2.0989977719615196E-4</v>
      </c>
      <c r="N318" s="190">
        <f>+M318</f>
        <v>2.0989977719615196E-4</v>
      </c>
      <c r="O318" s="39"/>
      <c r="P318" s="262">
        <v>0</v>
      </c>
      <c r="Q318" s="510"/>
      <c r="R318" s="262">
        <v>0</v>
      </c>
      <c r="S318" s="510"/>
      <c r="T318" s="262">
        <v>0</v>
      </c>
      <c r="U318" s="521"/>
      <c r="V318" s="262">
        <v>0</v>
      </c>
      <c r="W318" s="510"/>
      <c r="X318" s="262">
        <v>0</v>
      </c>
      <c r="Y318" s="510"/>
    </row>
    <row r="319" spans="1:25" ht="12" customHeight="1">
      <c r="B319" s="86" t="s">
        <v>764</v>
      </c>
      <c r="C319" s="96" t="s">
        <v>765</v>
      </c>
      <c r="D319" s="97">
        <v>29</v>
      </c>
      <c r="E319" s="350" t="s">
        <v>766</v>
      </c>
      <c r="F319" s="339">
        <f t="shared" si="69"/>
        <v>0.43399225346091813</v>
      </c>
      <c r="G319" s="372">
        <f>I528*M319</f>
        <v>12.585775350366626</v>
      </c>
      <c r="H319" s="308">
        <v>1.78</v>
      </c>
      <c r="I319" s="114">
        <f t="shared" si="77"/>
        <v>51.62</v>
      </c>
      <c r="J319" s="39"/>
      <c r="K319" s="187">
        <f>+I319/$I$317</f>
        <v>2.2911337738950118E-3</v>
      </c>
      <c r="L319" s="188">
        <f>+L318+K319</f>
        <v>1.1635870402253319E-2</v>
      </c>
      <c r="M319" s="189">
        <f t="shared" si="76"/>
        <v>5.1463030772610261E-5</v>
      </c>
      <c r="N319" s="190">
        <f>+N318+M319</f>
        <v>2.6136280796876222E-4</v>
      </c>
      <c r="O319" s="39"/>
      <c r="P319" s="262">
        <v>0</v>
      </c>
      <c r="Q319" s="510"/>
      <c r="R319" s="262">
        <v>0</v>
      </c>
      <c r="S319" s="510"/>
      <c r="T319" s="262">
        <v>0</v>
      </c>
      <c r="U319" s="521"/>
      <c r="V319" s="262">
        <v>0</v>
      </c>
      <c r="W319" s="510"/>
      <c r="X319" s="262">
        <v>0</v>
      </c>
      <c r="Y319" s="510"/>
    </row>
    <row r="320" spans="1:25" ht="12" customHeight="1">
      <c r="B320" s="86" t="s">
        <v>767</v>
      </c>
      <c r="C320" s="96" t="s">
        <v>768</v>
      </c>
      <c r="D320" s="97">
        <v>83</v>
      </c>
      <c r="E320" s="350" t="s">
        <v>769</v>
      </c>
      <c r="F320" s="339">
        <f t="shared" si="69"/>
        <v>1.7701032360259918</v>
      </c>
      <c r="G320" s="372">
        <f>I528*M320</f>
        <v>146.91856859015732</v>
      </c>
      <c r="H320" s="308">
        <v>7.26</v>
      </c>
      <c r="I320" s="114">
        <f t="shared" si="77"/>
        <v>602.57999999999993</v>
      </c>
      <c r="J320" s="39"/>
      <c r="K320" s="187">
        <f t="shared" ref="K320:K341" si="78">+I320/$I$317</f>
        <v>2.674528069495653E-2</v>
      </c>
      <c r="L320" s="188">
        <f t="shared" ref="L320:L341" si="79">+L319+K320</f>
        <v>3.8381151097209847E-2</v>
      </c>
      <c r="M320" s="189">
        <f t="shared" ref="M320:M344" si="80">+I320/$I$514</f>
        <v>6.0074763818209007E-4</v>
      </c>
      <c r="N320" s="190">
        <f t="shared" ref="N320:N341" si="81">+N319+M320</f>
        <v>8.6211044615085229E-4</v>
      </c>
      <c r="O320" s="39"/>
      <c r="P320" s="262">
        <v>0</v>
      </c>
      <c r="Q320" s="510"/>
      <c r="R320" s="262">
        <v>0</v>
      </c>
      <c r="S320" s="510"/>
      <c r="T320" s="262">
        <v>0</v>
      </c>
      <c r="U320" s="521"/>
      <c r="V320" s="262">
        <v>0</v>
      </c>
      <c r="W320" s="510"/>
      <c r="X320" s="262">
        <v>0</v>
      </c>
      <c r="Y320" s="510"/>
    </row>
    <row r="321" spans="2:25" ht="12" customHeight="1">
      <c r="B321" s="86" t="s">
        <v>770</v>
      </c>
      <c r="C321" s="96" t="s">
        <v>771</v>
      </c>
      <c r="D321" s="97">
        <v>83</v>
      </c>
      <c r="E321" s="350" t="s">
        <v>772</v>
      </c>
      <c r="F321" s="339">
        <f t="shared" si="69"/>
        <v>0.43399225346091819</v>
      </c>
      <c r="G321" s="372">
        <f>I528*M321</f>
        <v>36.021357037256209</v>
      </c>
      <c r="H321" s="308">
        <v>1.78</v>
      </c>
      <c r="I321" s="114">
        <f t="shared" si="77"/>
        <v>147.74</v>
      </c>
      <c r="J321" s="39"/>
      <c r="K321" s="187">
        <f t="shared" si="78"/>
        <v>6.55738287011331E-3</v>
      </c>
      <c r="L321" s="188">
        <f t="shared" si="79"/>
        <v>4.4938533967323155E-2</v>
      </c>
      <c r="M321" s="189">
        <f t="shared" si="80"/>
        <v>1.4729074324574661E-4</v>
      </c>
      <c r="N321" s="190">
        <f t="shared" si="81"/>
        <v>1.0094011893965989E-3</v>
      </c>
      <c r="O321" s="39"/>
      <c r="P321" s="262">
        <v>0</v>
      </c>
      <c r="Q321" s="510"/>
      <c r="R321" s="262">
        <v>0</v>
      </c>
      <c r="S321" s="510"/>
      <c r="T321" s="262">
        <v>0</v>
      </c>
      <c r="U321" s="521"/>
      <c r="V321" s="262">
        <v>0</v>
      </c>
      <c r="W321" s="510"/>
      <c r="X321" s="262">
        <v>0</v>
      </c>
      <c r="Y321" s="510"/>
    </row>
    <row r="322" spans="2:25" ht="12" customHeight="1">
      <c r="B322" s="153"/>
      <c r="C322" s="96" t="s">
        <v>773</v>
      </c>
      <c r="D322" s="97">
        <v>17</v>
      </c>
      <c r="E322" s="350" t="s">
        <v>774</v>
      </c>
      <c r="F322" s="339">
        <f t="shared" si="69"/>
        <v>2.0090427913022282</v>
      </c>
      <c r="G322" s="372">
        <f>I528*M322</f>
        <v>34.153727452137879</v>
      </c>
      <c r="H322" s="308">
        <v>8.24</v>
      </c>
      <c r="I322" s="114">
        <f t="shared" si="77"/>
        <v>140.08000000000001</v>
      </c>
      <c r="J322" s="39"/>
      <c r="K322" s="187">
        <f t="shared" si="78"/>
        <v>6.2173967269897965E-3</v>
      </c>
      <c r="L322" s="188">
        <f t="shared" si="79"/>
        <v>5.115593069431295E-2</v>
      </c>
      <c r="M322" s="189">
        <f t="shared" si="80"/>
        <v>1.396540362384201E-4</v>
      </c>
      <c r="N322" s="190">
        <f t="shared" si="81"/>
        <v>1.1490552256350191E-3</v>
      </c>
      <c r="O322" s="39"/>
      <c r="P322" s="262">
        <v>0</v>
      </c>
      <c r="Q322" s="510"/>
      <c r="R322" s="262">
        <v>0</v>
      </c>
      <c r="S322" s="510"/>
      <c r="T322" s="262">
        <v>0</v>
      </c>
      <c r="U322" s="521"/>
      <c r="V322" s="262">
        <v>0</v>
      </c>
      <c r="W322" s="510"/>
      <c r="X322" s="262">
        <v>0</v>
      </c>
      <c r="Y322" s="510"/>
    </row>
    <row r="323" spans="2:25" ht="12" customHeight="1">
      <c r="B323" s="86" t="s">
        <v>775</v>
      </c>
      <c r="C323" s="96" t="s">
        <v>776</v>
      </c>
      <c r="D323" s="97">
        <v>17</v>
      </c>
      <c r="E323" s="350" t="s">
        <v>777</v>
      </c>
      <c r="F323" s="339">
        <f t="shared" si="69"/>
        <v>0.43399225346091824</v>
      </c>
      <c r="G323" s="372">
        <f>I528*M323</f>
        <v>7.3778683088356098</v>
      </c>
      <c r="H323" s="308">
        <v>1.78</v>
      </c>
      <c r="I323" s="114">
        <f t="shared" si="77"/>
        <v>30.26</v>
      </c>
      <c r="J323" s="39"/>
      <c r="K323" s="187">
        <f t="shared" si="78"/>
        <v>1.3430784191798347E-3</v>
      </c>
      <c r="L323" s="188">
        <f t="shared" si="79"/>
        <v>5.2499009113492784E-2</v>
      </c>
      <c r="M323" s="189">
        <f t="shared" si="80"/>
        <v>3.0167983556357742E-5</v>
      </c>
      <c r="N323" s="190">
        <f t="shared" si="81"/>
        <v>1.1792232091913768E-3</v>
      </c>
      <c r="O323" s="39"/>
      <c r="P323" s="262">
        <v>0</v>
      </c>
      <c r="Q323" s="510"/>
      <c r="R323" s="262">
        <v>0</v>
      </c>
      <c r="S323" s="510"/>
      <c r="T323" s="262">
        <v>0</v>
      </c>
      <c r="U323" s="521"/>
      <c r="V323" s="262">
        <v>0</v>
      </c>
      <c r="W323" s="510"/>
      <c r="X323" s="262">
        <v>0</v>
      </c>
      <c r="Y323" s="510"/>
    </row>
    <row r="324" spans="2:25" ht="12" customHeight="1">
      <c r="B324" s="86" t="s">
        <v>778</v>
      </c>
      <c r="C324" s="96" t="s">
        <v>779</v>
      </c>
      <c r="D324" s="97">
        <v>30</v>
      </c>
      <c r="E324" s="350" t="s">
        <v>780</v>
      </c>
      <c r="F324" s="339">
        <f t="shared" si="69"/>
        <v>1.1751925065627113</v>
      </c>
      <c r="G324" s="372">
        <f>I528*M324</f>
        <v>35.255775196881338</v>
      </c>
      <c r="H324" s="308">
        <v>4.82</v>
      </c>
      <c r="I324" s="114">
        <f t="shared" si="77"/>
        <v>144.60000000000002</v>
      </c>
      <c r="J324" s="39"/>
      <c r="K324" s="187">
        <f t="shared" si="78"/>
        <v>6.4180151822010615E-3</v>
      </c>
      <c r="L324" s="188">
        <f t="shared" si="79"/>
        <v>5.8917024295693843E-2</v>
      </c>
      <c r="M324" s="189">
        <f t="shared" si="80"/>
        <v>1.4416029154822637E-4</v>
      </c>
      <c r="N324" s="190">
        <f t="shared" si="81"/>
        <v>1.323383500739603E-3</v>
      </c>
      <c r="O324" s="39"/>
      <c r="P324" s="262">
        <v>0</v>
      </c>
      <c r="Q324" s="510"/>
      <c r="R324" s="262">
        <v>0</v>
      </c>
      <c r="S324" s="510"/>
      <c r="T324" s="262">
        <v>0</v>
      </c>
      <c r="U324" s="521"/>
      <c r="V324" s="262">
        <v>0</v>
      </c>
      <c r="W324" s="510"/>
      <c r="X324" s="262">
        <v>0</v>
      </c>
      <c r="Y324" s="510"/>
    </row>
    <row r="325" spans="2:25" ht="12" customHeight="1">
      <c r="B325" s="86" t="s">
        <v>781</v>
      </c>
      <c r="C325" s="96" t="s">
        <v>782</v>
      </c>
      <c r="D325" s="97">
        <v>30</v>
      </c>
      <c r="E325" s="350" t="s">
        <v>783</v>
      </c>
      <c r="F325" s="339">
        <f t="shared" si="69"/>
        <v>0.43399225346091819</v>
      </c>
      <c r="G325" s="372">
        <f>I528*M325</f>
        <v>13.019767603827546</v>
      </c>
      <c r="H325" s="308">
        <v>1.78</v>
      </c>
      <c r="I325" s="114">
        <f t="shared" si="77"/>
        <v>53.4</v>
      </c>
      <c r="J325" s="39"/>
      <c r="K325" s="187">
        <f t="shared" si="78"/>
        <v>2.3701383867879432E-3</v>
      </c>
      <c r="L325" s="188">
        <f t="shared" si="79"/>
        <v>6.1287162682481786E-2</v>
      </c>
      <c r="M325" s="189">
        <f t="shared" si="80"/>
        <v>5.3237618040631306E-5</v>
      </c>
      <c r="N325" s="190">
        <f t="shared" si="81"/>
        <v>1.3766211187802343E-3</v>
      </c>
      <c r="O325" s="39"/>
      <c r="P325" s="262">
        <v>0</v>
      </c>
      <c r="Q325" s="510"/>
      <c r="R325" s="262">
        <v>0</v>
      </c>
      <c r="S325" s="510"/>
      <c r="T325" s="262">
        <v>0</v>
      </c>
      <c r="U325" s="521"/>
      <c r="V325" s="262">
        <v>0</v>
      </c>
      <c r="W325" s="510"/>
      <c r="X325" s="262">
        <v>0</v>
      </c>
      <c r="Y325" s="510"/>
    </row>
    <row r="326" spans="2:25" ht="12" customHeight="1">
      <c r="B326" s="86" t="s">
        <v>784</v>
      </c>
      <c r="C326" s="96" t="s">
        <v>785</v>
      </c>
      <c r="D326" s="97">
        <v>2</v>
      </c>
      <c r="E326" s="350" t="s">
        <v>786</v>
      </c>
      <c r="F326" s="339">
        <f t="shared" si="69"/>
        <v>3.423174853141175</v>
      </c>
      <c r="G326" s="372">
        <f>I528*M326</f>
        <v>6.84634970628235</v>
      </c>
      <c r="H326" s="308">
        <v>14.04</v>
      </c>
      <c r="I326" s="114">
        <f t="shared" si="77"/>
        <v>28.08</v>
      </c>
      <c r="J326" s="39"/>
      <c r="K326" s="187">
        <f t="shared" si="78"/>
        <v>1.246319960692986E-3</v>
      </c>
      <c r="L326" s="188">
        <f t="shared" si="79"/>
        <v>6.2533482643174765E-2</v>
      </c>
      <c r="M326" s="189">
        <f t="shared" si="80"/>
        <v>2.7994612632601631E-5</v>
      </c>
      <c r="N326" s="190">
        <f t="shared" si="81"/>
        <v>1.404615731412836E-3</v>
      </c>
      <c r="O326" s="39"/>
      <c r="P326" s="262">
        <v>0</v>
      </c>
      <c r="Q326" s="510"/>
      <c r="R326" s="262">
        <v>0</v>
      </c>
      <c r="S326" s="510"/>
      <c r="T326" s="262">
        <v>0</v>
      </c>
      <c r="U326" s="521"/>
      <c r="V326" s="262">
        <v>0</v>
      </c>
      <c r="W326" s="510"/>
      <c r="X326" s="262">
        <v>0</v>
      </c>
      <c r="Y326" s="510"/>
    </row>
    <row r="327" spans="2:25" ht="12" customHeight="1">
      <c r="B327" s="86" t="s">
        <v>787</v>
      </c>
      <c r="C327" s="96" t="s">
        <v>788</v>
      </c>
      <c r="D327" s="97">
        <v>2</v>
      </c>
      <c r="E327" s="350" t="s">
        <v>789</v>
      </c>
      <c r="F327" s="339">
        <f t="shared" ref="F327:F390" si="82">+G327/D327</f>
        <v>0.43399225346091819</v>
      </c>
      <c r="G327" s="372">
        <f>I528*M327</f>
        <v>0.86798450692183637</v>
      </c>
      <c r="H327" s="308">
        <v>1.78</v>
      </c>
      <c r="I327" s="114">
        <f t="shared" si="77"/>
        <v>3.56</v>
      </c>
      <c r="J327" s="39"/>
      <c r="K327" s="187">
        <f t="shared" si="78"/>
        <v>1.580092257858629E-4</v>
      </c>
      <c r="L327" s="188">
        <f t="shared" si="79"/>
        <v>6.2691491868960628E-2</v>
      </c>
      <c r="M327" s="189">
        <f t="shared" si="80"/>
        <v>3.5491745360420872E-6</v>
      </c>
      <c r="N327" s="190">
        <f t="shared" si="81"/>
        <v>1.4081649059488781E-3</v>
      </c>
      <c r="O327" s="39"/>
      <c r="P327" s="262">
        <v>0</v>
      </c>
      <c r="Q327" s="510"/>
      <c r="R327" s="262">
        <v>0</v>
      </c>
      <c r="S327" s="510"/>
      <c r="T327" s="262">
        <v>0</v>
      </c>
      <c r="U327" s="521"/>
      <c r="V327" s="262">
        <v>0</v>
      </c>
      <c r="W327" s="510"/>
      <c r="X327" s="262">
        <v>0</v>
      </c>
      <c r="Y327" s="510"/>
    </row>
    <row r="328" spans="2:25" ht="12" customHeight="1">
      <c r="B328" s="86" t="s">
        <v>790</v>
      </c>
      <c r="C328" s="96" t="s">
        <v>791</v>
      </c>
      <c r="D328" s="97">
        <v>4</v>
      </c>
      <c r="E328" s="350" t="s">
        <v>792</v>
      </c>
      <c r="F328" s="339">
        <f t="shared" si="82"/>
        <v>1.9310217120283553</v>
      </c>
      <c r="G328" s="372">
        <f>I528*M328</f>
        <v>7.7240868481134211</v>
      </c>
      <c r="H328" s="308">
        <v>7.92</v>
      </c>
      <c r="I328" s="114">
        <f t="shared" si="77"/>
        <v>31.68</v>
      </c>
      <c r="J328" s="39"/>
      <c r="K328" s="187">
        <f t="shared" si="78"/>
        <v>1.4061045710382406E-3</v>
      </c>
      <c r="L328" s="188">
        <f t="shared" si="79"/>
        <v>6.4097596439998863E-2</v>
      </c>
      <c r="M328" s="189">
        <f t="shared" si="80"/>
        <v>3.1583665534217227E-5</v>
      </c>
      <c r="N328" s="190">
        <f t="shared" si="81"/>
        <v>1.4397485714830955E-3</v>
      </c>
      <c r="O328" s="39"/>
      <c r="P328" s="262">
        <v>0</v>
      </c>
      <c r="Q328" s="510"/>
      <c r="R328" s="262">
        <v>0</v>
      </c>
      <c r="S328" s="510"/>
      <c r="T328" s="262">
        <v>0</v>
      </c>
      <c r="U328" s="521"/>
      <c r="V328" s="262">
        <v>0</v>
      </c>
      <c r="W328" s="510"/>
      <c r="X328" s="262">
        <v>0</v>
      </c>
      <c r="Y328" s="510"/>
    </row>
    <row r="329" spans="2:25" ht="12" customHeight="1">
      <c r="B329" s="86" t="s">
        <v>793</v>
      </c>
      <c r="C329" s="96" t="s">
        <v>794</v>
      </c>
      <c r="D329" s="97">
        <v>4</v>
      </c>
      <c r="E329" s="350" t="s">
        <v>795</v>
      </c>
      <c r="F329" s="339">
        <f t="shared" si="82"/>
        <v>0.43399225346091819</v>
      </c>
      <c r="G329" s="372">
        <f>I528*M329</f>
        <v>1.7359690138436727</v>
      </c>
      <c r="H329" s="308">
        <v>1.78</v>
      </c>
      <c r="I329" s="114">
        <f t="shared" si="77"/>
        <v>7.12</v>
      </c>
      <c r="J329" s="39"/>
      <c r="K329" s="187">
        <f t="shared" si="78"/>
        <v>3.1601845157172581E-4</v>
      </c>
      <c r="L329" s="188">
        <f t="shared" si="79"/>
        <v>6.4413614891570589E-2</v>
      </c>
      <c r="M329" s="189">
        <f t="shared" si="80"/>
        <v>7.0983490720841743E-6</v>
      </c>
      <c r="N329" s="190">
        <f t="shared" si="81"/>
        <v>1.4468469205551797E-3</v>
      </c>
      <c r="O329" s="39"/>
      <c r="P329" s="262">
        <v>0</v>
      </c>
      <c r="Q329" s="510"/>
      <c r="R329" s="262">
        <v>0</v>
      </c>
      <c r="S329" s="510"/>
      <c r="T329" s="262">
        <v>0</v>
      </c>
      <c r="U329" s="521"/>
      <c r="V329" s="262">
        <v>0</v>
      </c>
      <c r="W329" s="510"/>
      <c r="X329" s="262">
        <v>0</v>
      </c>
      <c r="Y329" s="510"/>
    </row>
    <row r="330" spans="2:25" ht="12" customHeight="1">
      <c r="B330" s="86" t="s">
        <v>796</v>
      </c>
      <c r="C330" s="96" t="s">
        <v>797</v>
      </c>
      <c r="D330" s="97">
        <v>89</v>
      </c>
      <c r="E330" s="350" t="s">
        <v>798</v>
      </c>
      <c r="F330" s="339">
        <f t="shared" si="82"/>
        <v>0.52908044382595076</v>
      </c>
      <c r="G330" s="372">
        <f>I528*M330</f>
        <v>47.088159500509619</v>
      </c>
      <c r="H330" s="308">
        <v>2.17</v>
      </c>
      <c r="I330" s="114">
        <f t="shared" si="77"/>
        <v>193.13</v>
      </c>
      <c r="J330" s="39"/>
      <c r="K330" s="187">
        <f t="shared" si="78"/>
        <v>8.5720004988830614E-3</v>
      </c>
      <c r="L330" s="188">
        <f t="shared" si="79"/>
        <v>7.2985615390453645E-2</v>
      </c>
      <c r="M330" s="189">
        <f t="shared" si="80"/>
        <v>1.9254271858028322E-4</v>
      </c>
      <c r="N330" s="190">
        <f t="shared" si="81"/>
        <v>1.6393896391354629E-3</v>
      </c>
      <c r="O330" s="39"/>
      <c r="P330" s="262">
        <v>0</v>
      </c>
      <c r="Q330" s="510"/>
      <c r="R330" s="262">
        <v>0</v>
      </c>
      <c r="S330" s="510"/>
      <c r="T330" s="262">
        <v>0</v>
      </c>
      <c r="U330" s="521"/>
      <c r="V330" s="262">
        <v>0</v>
      </c>
      <c r="W330" s="510"/>
      <c r="X330" s="262">
        <v>0</v>
      </c>
      <c r="Y330" s="510"/>
    </row>
    <row r="331" spans="2:25" ht="12" customHeight="1">
      <c r="B331" s="86" t="s">
        <v>799</v>
      </c>
      <c r="C331" s="96" t="s">
        <v>800</v>
      </c>
      <c r="D331" s="97">
        <v>11</v>
      </c>
      <c r="E331" s="350" t="s">
        <v>801</v>
      </c>
      <c r="F331" s="339">
        <f t="shared" si="82"/>
        <v>0.7070660309194734</v>
      </c>
      <c r="G331" s="372">
        <f>I528*M331</f>
        <v>7.7777263401142074</v>
      </c>
      <c r="H331" s="308">
        <v>2.9</v>
      </c>
      <c r="I331" s="114">
        <f t="shared" si="77"/>
        <v>31.9</v>
      </c>
      <c r="J331" s="39"/>
      <c r="K331" s="187">
        <f t="shared" si="78"/>
        <v>1.4158691861148949E-3</v>
      </c>
      <c r="L331" s="188">
        <f t="shared" si="79"/>
        <v>7.4401484576568547E-2</v>
      </c>
      <c r="M331" s="189">
        <f t="shared" si="80"/>
        <v>3.180299654487151E-5</v>
      </c>
      <c r="N331" s="190">
        <f t="shared" si="81"/>
        <v>1.6711926356803343E-3</v>
      </c>
      <c r="O331" s="39"/>
      <c r="P331" s="262">
        <v>0</v>
      </c>
      <c r="Q331" s="510"/>
      <c r="R331" s="262">
        <v>0</v>
      </c>
      <c r="S331" s="510"/>
      <c r="T331" s="262">
        <v>0</v>
      </c>
      <c r="U331" s="521"/>
      <c r="V331" s="262">
        <v>0</v>
      </c>
      <c r="W331" s="510"/>
      <c r="X331" s="262">
        <v>0</v>
      </c>
      <c r="Y331" s="510"/>
    </row>
    <row r="332" spans="2:25" ht="12" customHeight="1">
      <c r="B332" s="86" t="s">
        <v>802</v>
      </c>
      <c r="C332" s="96" t="s">
        <v>803</v>
      </c>
      <c r="D332" s="97">
        <v>9</v>
      </c>
      <c r="E332" s="350" t="s">
        <v>804</v>
      </c>
      <c r="F332" s="339">
        <f t="shared" si="82"/>
        <v>4.5374133915211727</v>
      </c>
      <c r="G332" s="372">
        <f>I528*M332</f>
        <v>40.836720523690552</v>
      </c>
      <c r="H332" s="308">
        <v>18.61</v>
      </c>
      <c r="I332" s="114">
        <f t="shared" si="77"/>
        <v>167.49</v>
      </c>
      <c r="J332" s="39"/>
      <c r="K332" s="187">
        <f t="shared" si="78"/>
        <v>7.4339789963129713E-3</v>
      </c>
      <c r="L332" s="188">
        <f t="shared" si="79"/>
        <v>8.1835463572881517E-2</v>
      </c>
      <c r="M332" s="189">
        <f t="shared" si="80"/>
        <v>1.669806862476655E-4</v>
      </c>
      <c r="N332" s="190">
        <f t="shared" si="81"/>
        <v>1.8381733219279997E-3</v>
      </c>
      <c r="O332" s="39"/>
      <c r="P332" s="262">
        <v>0</v>
      </c>
      <c r="Q332" s="510"/>
      <c r="R332" s="262">
        <v>0</v>
      </c>
      <c r="S332" s="510"/>
      <c r="T332" s="262">
        <v>0</v>
      </c>
      <c r="U332" s="521"/>
      <c r="V332" s="262">
        <v>0</v>
      </c>
      <c r="W332" s="510"/>
      <c r="X332" s="262">
        <v>0</v>
      </c>
      <c r="Y332" s="510"/>
    </row>
    <row r="333" spans="2:25" ht="12" customHeight="1">
      <c r="B333" s="86" t="s">
        <v>805</v>
      </c>
      <c r="C333" s="96" t="s">
        <v>806</v>
      </c>
      <c r="D333" s="97">
        <v>32</v>
      </c>
      <c r="E333" s="350" t="s">
        <v>807</v>
      </c>
      <c r="F333" s="339">
        <f t="shared" si="82"/>
        <v>2.4186534574900609</v>
      </c>
      <c r="G333" s="372">
        <f>I528*M333</f>
        <v>77.396910639681948</v>
      </c>
      <c r="H333" s="308">
        <v>9.92</v>
      </c>
      <c r="I333" s="114">
        <f t="shared" si="77"/>
        <v>317.44</v>
      </c>
      <c r="J333" s="39"/>
      <c r="K333" s="187">
        <f t="shared" si="78"/>
        <v>1.4089451863332674E-2</v>
      </c>
      <c r="L333" s="188">
        <f t="shared" si="79"/>
        <v>9.5924915436214189E-2</v>
      </c>
      <c r="M333" s="189">
        <f t="shared" si="80"/>
        <v>3.1647470919134835E-4</v>
      </c>
      <c r="N333" s="190">
        <f t="shared" si="81"/>
        <v>2.1546480311193479E-3</v>
      </c>
      <c r="O333" s="39"/>
      <c r="P333" s="262">
        <v>0</v>
      </c>
      <c r="Q333" s="510"/>
      <c r="R333" s="262">
        <v>0</v>
      </c>
      <c r="S333" s="510"/>
      <c r="T333" s="262">
        <v>0</v>
      </c>
      <c r="U333" s="521"/>
      <c r="V333" s="262">
        <v>0</v>
      </c>
      <c r="W333" s="510"/>
      <c r="X333" s="262">
        <v>0</v>
      </c>
      <c r="Y333" s="510"/>
    </row>
    <row r="334" spans="2:25" ht="12" customHeight="1">
      <c r="B334" s="86" t="s">
        <v>808</v>
      </c>
      <c r="C334" s="96" t="s">
        <v>809</v>
      </c>
      <c r="D334" s="97">
        <v>32</v>
      </c>
      <c r="E334" s="350" t="s">
        <v>810</v>
      </c>
      <c r="F334" s="339">
        <f t="shared" si="82"/>
        <v>0.44130672964284379</v>
      </c>
      <c r="G334" s="372">
        <f>I528*M334</f>
        <v>14.121815348571001</v>
      </c>
      <c r="H334" s="308">
        <v>1.81</v>
      </c>
      <c r="I334" s="114">
        <f t="shared" si="77"/>
        <v>57.92</v>
      </c>
      <c r="J334" s="39"/>
      <c r="K334" s="187">
        <f t="shared" si="78"/>
        <v>2.5707568419992078E-3</v>
      </c>
      <c r="L334" s="188">
        <f t="shared" si="79"/>
        <v>9.8495672278213403E-2</v>
      </c>
      <c r="M334" s="189">
        <f t="shared" si="80"/>
        <v>5.7743873350437555E-5</v>
      </c>
      <c r="N334" s="190">
        <f t="shared" si="81"/>
        <v>2.2123919044697853E-3</v>
      </c>
      <c r="O334" s="39"/>
      <c r="P334" s="262">
        <v>0</v>
      </c>
      <c r="Q334" s="510"/>
      <c r="R334" s="262">
        <v>0</v>
      </c>
      <c r="S334" s="510"/>
      <c r="T334" s="262">
        <v>0</v>
      </c>
      <c r="U334" s="521"/>
      <c r="V334" s="262">
        <v>0</v>
      </c>
      <c r="W334" s="510"/>
      <c r="X334" s="262">
        <v>0</v>
      </c>
      <c r="Y334" s="510"/>
    </row>
    <row r="335" spans="2:25" ht="12" customHeight="1">
      <c r="B335" s="86" t="s">
        <v>811</v>
      </c>
      <c r="C335" s="96" t="s">
        <v>812</v>
      </c>
      <c r="D335" s="97">
        <v>32</v>
      </c>
      <c r="E335" s="350" t="s">
        <v>813</v>
      </c>
      <c r="F335" s="339">
        <f t="shared" si="82"/>
        <v>0.37060012655089641</v>
      </c>
      <c r="G335" s="372">
        <f>I528*M335</f>
        <v>11.859204049628685</v>
      </c>
      <c r="H335" s="308">
        <v>1.52</v>
      </c>
      <c r="I335" s="114">
        <f t="shared" si="77"/>
        <v>48.64</v>
      </c>
      <c r="J335" s="39"/>
      <c r="K335" s="187">
        <f t="shared" si="78"/>
        <v>2.1588676242203291E-3</v>
      </c>
      <c r="L335" s="188">
        <f t="shared" si="79"/>
        <v>0.10065453990243373</v>
      </c>
      <c r="M335" s="189">
        <f t="shared" si="80"/>
        <v>4.8492092537384022E-5</v>
      </c>
      <c r="N335" s="190">
        <f t="shared" si="81"/>
        <v>2.2608839970071691E-3</v>
      </c>
      <c r="O335" s="39"/>
      <c r="P335" s="262">
        <v>0</v>
      </c>
      <c r="Q335" s="510"/>
      <c r="R335" s="262">
        <v>0</v>
      </c>
      <c r="S335" s="510"/>
      <c r="T335" s="262">
        <v>0</v>
      </c>
      <c r="U335" s="521"/>
      <c r="V335" s="262">
        <v>0</v>
      </c>
      <c r="W335" s="510"/>
      <c r="X335" s="262">
        <v>0</v>
      </c>
      <c r="Y335" s="510"/>
    </row>
    <row r="336" spans="2:25" ht="12" customHeight="1">
      <c r="B336" s="86" t="s">
        <v>814</v>
      </c>
      <c r="C336" s="96" t="s">
        <v>815</v>
      </c>
      <c r="D336" s="97">
        <v>1485</v>
      </c>
      <c r="E336" s="350" t="s">
        <v>816</v>
      </c>
      <c r="F336" s="339">
        <f t="shared" si="82"/>
        <v>1.1971359351084878</v>
      </c>
      <c r="G336" s="372">
        <f>I528*M336</f>
        <v>1777.7468636361045</v>
      </c>
      <c r="H336" s="308">
        <v>4.91</v>
      </c>
      <c r="I336" s="114">
        <f t="shared" si="77"/>
        <v>7291.35</v>
      </c>
      <c r="J336" s="39"/>
      <c r="K336" s="187">
        <f t="shared" si="78"/>
        <v>0.32362375517802006</v>
      </c>
      <c r="L336" s="188">
        <f t="shared" si="79"/>
        <v>0.42427829508045378</v>
      </c>
      <c r="M336" s="189">
        <f t="shared" si="80"/>
        <v>7.2691780206096835E-3</v>
      </c>
      <c r="N336" s="190">
        <f t="shared" si="81"/>
        <v>9.530062017616853E-3</v>
      </c>
      <c r="O336" s="39"/>
      <c r="P336" s="262">
        <v>0</v>
      </c>
      <c r="Q336" s="510"/>
      <c r="R336" s="262">
        <v>0.5</v>
      </c>
      <c r="S336" s="510"/>
      <c r="T336" s="262">
        <v>1</v>
      </c>
      <c r="U336" s="521"/>
      <c r="V336" s="262">
        <v>1</v>
      </c>
      <c r="W336" s="510"/>
      <c r="X336" s="262">
        <v>1</v>
      </c>
      <c r="Y336" s="510"/>
    </row>
    <row r="337" spans="1:25" ht="12" customHeight="1">
      <c r="B337" s="86" t="s">
        <v>817</v>
      </c>
      <c r="C337" s="96" t="s">
        <v>818</v>
      </c>
      <c r="D337" s="97">
        <v>69</v>
      </c>
      <c r="E337" s="350" t="s">
        <v>819</v>
      </c>
      <c r="F337" s="339">
        <f t="shared" si="82"/>
        <v>0.7436384118291014</v>
      </c>
      <c r="G337" s="372">
        <f>I528*M337</f>
        <v>51.311050416207998</v>
      </c>
      <c r="H337" s="308">
        <v>3.05</v>
      </c>
      <c r="I337" s="114">
        <f t="shared" si="77"/>
        <v>210.45</v>
      </c>
      <c r="J337" s="39"/>
      <c r="K337" s="187">
        <f t="shared" si="78"/>
        <v>9.340742013099675E-3</v>
      </c>
      <c r="L337" s="188">
        <f t="shared" si="79"/>
        <v>0.43361903709355348</v>
      </c>
      <c r="M337" s="189">
        <f t="shared" si="80"/>
        <v>2.0981005087361158E-4</v>
      </c>
      <c r="N337" s="190">
        <f t="shared" si="81"/>
        <v>9.7398720684904651E-3</v>
      </c>
      <c r="O337" s="39"/>
      <c r="P337" s="262">
        <v>0</v>
      </c>
      <c r="Q337" s="510"/>
      <c r="R337" s="262">
        <v>0.5</v>
      </c>
      <c r="S337" s="510"/>
      <c r="T337" s="262">
        <v>1</v>
      </c>
      <c r="U337" s="521"/>
      <c r="V337" s="262">
        <v>1</v>
      </c>
      <c r="W337" s="510"/>
      <c r="X337" s="262">
        <v>1</v>
      </c>
      <c r="Y337" s="510"/>
    </row>
    <row r="338" spans="1:25" ht="12" customHeight="1">
      <c r="B338" s="86" t="s">
        <v>820</v>
      </c>
      <c r="C338" s="96" t="s">
        <v>821</v>
      </c>
      <c r="D338" s="97">
        <v>45</v>
      </c>
      <c r="E338" s="350" t="s">
        <v>822</v>
      </c>
      <c r="F338" s="339">
        <f t="shared" si="82"/>
        <v>0.5193278089167167</v>
      </c>
      <c r="G338" s="372">
        <f>I528*M338</f>
        <v>23.369751401252252</v>
      </c>
      <c r="H338" s="308">
        <v>2.13</v>
      </c>
      <c r="I338" s="114">
        <f t="shared" si="77"/>
        <v>95.85</v>
      </c>
      <c r="J338" s="39"/>
      <c r="K338" s="187">
        <f t="shared" si="78"/>
        <v>4.2542652504424039E-3</v>
      </c>
      <c r="L338" s="188">
        <f t="shared" si="79"/>
        <v>0.43787330234399591</v>
      </c>
      <c r="M338" s="189">
        <f t="shared" si="80"/>
        <v>9.5558533505515179E-5</v>
      </c>
      <c r="N338" s="190">
        <f t="shared" si="81"/>
        <v>9.83543060199598E-3</v>
      </c>
      <c r="O338" s="39"/>
      <c r="P338" s="262">
        <v>0</v>
      </c>
      <c r="Q338" s="510"/>
      <c r="R338" s="262">
        <v>0</v>
      </c>
      <c r="S338" s="510"/>
      <c r="T338" s="262">
        <v>0</v>
      </c>
      <c r="U338" s="521"/>
      <c r="V338" s="262">
        <v>0</v>
      </c>
      <c r="W338" s="510"/>
      <c r="X338" s="262">
        <v>0</v>
      </c>
      <c r="Y338" s="510"/>
    </row>
    <row r="339" spans="1:25" ht="12" customHeight="1">
      <c r="B339" s="86" t="s">
        <v>823</v>
      </c>
      <c r="C339" s="96" t="s">
        <v>824</v>
      </c>
      <c r="D339" s="97">
        <v>4374</v>
      </c>
      <c r="E339" s="350" t="s">
        <v>825</v>
      </c>
      <c r="F339" s="339">
        <f t="shared" si="82"/>
        <v>0.48763174546170585</v>
      </c>
      <c r="G339" s="372">
        <f>I528*M339</f>
        <v>2132.9012546495014</v>
      </c>
      <c r="H339" s="308">
        <v>2</v>
      </c>
      <c r="I339" s="114">
        <f t="shared" si="77"/>
        <v>8748</v>
      </c>
      <c r="J339" s="39"/>
      <c r="K339" s="187">
        <f t="shared" si="78"/>
        <v>0.38827660313896872</v>
      </c>
      <c r="L339" s="188">
        <f t="shared" si="79"/>
        <v>0.82614990548296463</v>
      </c>
      <c r="M339" s="189">
        <f t="shared" si="80"/>
        <v>8.7213985509258934E-3</v>
      </c>
      <c r="N339" s="190">
        <f t="shared" si="81"/>
        <v>1.8556829152921873E-2</v>
      </c>
      <c r="O339" s="39"/>
      <c r="P339" s="262">
        <v>0</v>
      </c>
      <c r="Q339" s="510"/>
      <c r="R339" s="262">
        <v>0</v>
      </c>
      <c r="S339" s="510"/>
      <c r="T339" s="262">
        <v>0</v>
      </c>
      <c r="U339" s="521"/>
      <c r="V339" s="262">
        <v>0</v>
      </c>
      <c r="W339" s="510"/>
      <c r="X339" s="262">
        <v>0</v>
      </c>
      <c r="Y339" s="510"/>
    </row>
    <row r="340" spans="1:25" ht="12" customHeight="1">
      <c r="B340" s="86" t="s">
        <v>826</v>
      </c>
      <c r="C340" s="96" t="s">
        <v>827</v>
      </c>
      <c r="D340" s="97">
        <v>1265</v>
      </c>
      <c r="E340" s="350" t="s">
        <v>828</v>
      </c>
      <c r="F340" s="339">
        <f t="shared" si="82"/>
        <v>0.59003441200866402</v>
      </c>
      <c r="G340" s="372">
        <f>I528*M340</f>
        <v>746.39353119095995</v>
      </c>
      <c r="H340" s="308">
        <v>2.42</v>
      </c>
      <c r="I340" s="114">
        <f t="shared" si="77"/>
        <v>3061.2999999999997</v>
      </c>
      <c r="J340" s="39"/>
      <c r="K340" s="187">
        <f t="shared" si="78"/>
        <v>0.13587461879164664</v>
      </c>
      <c r="L340" s="188">
        <f t="shared" si="79"/>
        <v>0.96202452427461127</v>
      </c>
      <c r="M340" s="189">
        <f t="shared" si="80"/>
        <v>3.0519910132543932E-3</v>
      </c>
      <c r="N340" s="190">
        <f t="shared" si="81"/>
        <v>2.1608820166176268E-2</v>
      </c>
      <c r="O340" s="39"/>
      <c r="P340" s="262">
        <v>0</v>
      </c>
      <c r="Q340" s="510"/>
      <c r="R340" s="262">
        <v>0</v>
      </c>
      <c r="S340" s="510"/>
      <c r="T340" s="262">
        <v>0</v>
      </c>
      <c r="U340" s="521"/>
      <c r="V340" s="262">
        <v>0</v>
      </c>
      <c r="W340" s="510"/>
      <c r="X340" s="262">
        <v>0</v>
      </c>
      <c r="Y340" s="510"/>
    </row>
    <row r="341" spans="1:25" ht="12" customHeight="1">
      <c r="B341" s="86" t="s">
        <v>829</v>
      </c>
      <c r="C341" s="96" t="s">
        <v>830</v>
      </c>
      <c r="D341" s="97">
        <v>345</v>
      </c>
      <c r="E341" s="350" t="s">
        <v>831</v>
      </c>
      <c r="F341" s="345">
        <f t="shared" si="82"/>
        <v>0.60466336437251522</v>
      </c>
      <c r="G341" s="372">
        <f>I528*M341</f>
        <v>208.60886070851777</v>
      </c>
      <c r="H341" s="308">
        <v>2.48</v>
      </c>
      <c r="I341" s="114">
        <f t="shared" si="77"/>
        <v>855.6</v>
      </c>
      <c r="J341" s="39"/>
      <c r="K341" s="187">
        <f t="shared" si="78"/>
        <v>3.7975475725388848E-2</v>
      </c>
      <c r="L341" s="188">
        <f t="shared" si="79"/>
        <v>1.0000000000000002</v>
      </c>
      <c r="M341" s="189">
        <f t="shared" si="80"/>
        <v>8.5299823961730613E-4</v>
      </c>
      <c r="N341" s="191">
        <f t="shared" si="81"/>
        <v>2.2461818405793574E-2</v>
      </c>
      <c r="O341" s="39"/>
      <c r="P341" s="262">
        <v>0</v>
      </c>
      <c r="Q341" s="511"/>
      <c r="R341" s="262">
        <v>0</v>
      </c>
      <c r="S341" s="511"/>
      <c r="T341" s="262">
        <v>0</v>
      </c>
      <c r="U341" s="522"/>
      <c r="V341" s="262">
        <v>0</v>
      </c>
      <c r="W341" s="511"/>
      <c r="X341" s="262">
        <v>0</v>
      </c>
      <c r="Y341" s="511"/>
    </row>
    <row r="342" spans="1:25" ht="12" customHeight="1">
      <c r="A342" s="291" t="s">
        <v>70</v>
      </c>
      <c r="B342" s="158"/>
      <c r="C342" s="159" t="s">
        <v>76</v>
      </c>
      <c r="D342" s="160"/>
      <c r="E342" s="359"/>
      <c r="F342" s="394">
        <f>+G342/D$3</f>
        <v>2.8780551902082321</v>
      </c>
      <c r="G342" s="377">
        <f>SUM(G343:G348)</f>
        <v>2650.141999695642</v>
      </c>
      <c r="H342" s="313"/>
      <c r="I342" s="161">
        <f>SUM(I343:I348)</f>
        <v>10869.439999999999</v>
      </c>
      <c r="J342" s="39"/>
      <c r="K342" s="552" t="str">
        <f>+C342</f>
        <v>Iluminação externa</v>
      </c>
      <c r="L342" s="553"/>
      <c r="M342" s="170">
        <f t="shared" si="80"/>
        <v>1.0836387547482387E-2</v>
      </c>
      <c r="N342" s="171"/>
      <c r="O342" s="38"/>
      <c r="P342" s="261">
        <f>SUMPRODUCT( P343:P348,$M$343:$M$348)</f>
        <v>0</v>
      </c>
      <c r="Q342" s="510">
        <f>+P342/$M$342</f>
        <v>0</v>
      </c>
      <c r="R342" s="261">
        <f>SUMPRODUCT( R343:R348,$M$343:$M$348)</f>
        <v>0</v>
      </c>
      <c r="S342" s="510">
        <f>+R342/$M$342</f>
        <v>0</v>
      </c>
      <c r="T342" s="261">
        <f>SUMPRODUCT( T343:T348,$M$343:$M$348)</f>
        <v>4.3994809859831813E-3</v>
      </c>
      <c r="U342" s="521">
        <f>+T342/$M$342</f>
        <v>0.40599147702181532</v>
      </c>
      <c r="V342" s="261">
        <f>SUMPRODUCT( V343:V348,$M$343:$M$348)</f>
        <v>8.483524100279926E-3</v>
      </c>
      <c r="W342" s="510">
        <f>+V342/$M$342</f>
        <v>0.78287381870639161</v>
      </c>
      <c r="X342" s="261">
        <f>SUMPRODUCT( X343:X348,$M$343:$M$348)</f>
        <v>8.483524100279926E-3</v>
      </c>
      <c r="Y342" s="510">
        <f>+X342/$M$342</f>
        <v>0.78287381870639161</v>
      </c>
    </row>
    <row r="343" spans="1:25" ht="12" customHeight="1">
      <c r="B343" s="86" t="s">
        <v>832</v>
      </c>
      <c r="C343" s="96" t="s">
        <v>833</v>
      </c>
      <c r="D343" s="97">
        <v>175</v>
      </c>
      <c r="E343" s="350" t="s">
        <v>834</v>
      </c>
      <c r="F343" s="346">
        <f t="shared" si="82"/>
        <v>4.6178726295223544</v>
      </c>
      <c r="G343" s="372">
        <f>I528*M343</f>
        <v>808.12771016641204</v>
      </c>
      <c r="H343" s="308">
        <v>18.940000000000001</v>
      </c>
      <c r="I343" s="114">
        <f t="shared" ref="I343:I348" si="83">$D343*$H343</f>
        <v>3314.5</v>
      </c>
      <c r="J343" s="39"/>
      <c r="K343" s="187">
        <f t="shared" ref="K343:K348" si="84">+I343/$I$342</f>
        <v>0.30493751288014842</v>
      </c>
      <c r="L343" s="188">
        <f>+K343</f>
        <v>0.30493751288014842</v>
      </c>
      <c r="M343" s="189">
        <f t="shared" si="80"/>
        <v>3.3044210673346904E-3</v>
      </c>
      <c r="N343" s="190">
        <f>+M343</f>
        <v>3.3044210673346904E-3</v>
      </c>
      <c r="O343" s="39"/>
      <c r="P343" s="262">
        <v>0</v>
      </c>
      <c r="Q343" s="510"/>
      <c r="R343" s="262">
        <v>0</v>
      </c>
      <c r="S343" s="510"/>
      <c r="T343" s="262">
        <v>1</v>
      </c>
      <c r="U343" s="521"/>
      <c r="V343" s="262">
        <v>1</v>
      </c>
      <c r="W343" s="510"/>
      <c r="X343" s="262">
        <v>1</v>
      </c>
      <c r="Y343" s="510"/>
    </row>
    <row r="344" spans="1:25" ht="12" customHeight="1">
      <c r="B344" s="86" t="s">
        <v>835</v>
      </c>
      <c r="C344" s="96" t="s">
        <v>836</v>
      </c>
      <c r="D344" s="97">
        <v>943</v>
      </c>
      <c r="E344" s="350" t="s">
        <v>837</v>
      </c>
      <c r="F344" s="339">
        <f t="shared" si="82"/>
        <v>0.60466336437251522</v>
      </c>
      <c r="G344" s="372">
        <f>I528*M344</f>
        <v>570.19755260328191</v>
      </c>
      <c r="H344" s="308">
        <v>2.48</v>
      </c>
      <c r="I344" s="114">
        <f t="shared" si="83"/>
        <v>2338.64</v>
      </c>
      <c r="J344" s="39"/>
      <c r="K344" s="187">
        <f t="shared" si="84"/>
        <v>0.21515735861277124</v>
      </c>
      <c r="L344" s="188">
        <f>+L343+K344</f>
        <v>0.52009487149291966</v>
      </c>
      <c r="M344" s="189">
        <f t="shared" si="80"/>
        <v>2.3315285216206367E-3</v>
      </c>
      <c r="N344" s="190">
        <f>+N343+M344</f>
        <v>5.6359495889553267E-3</v>
      </c>
      <c r="O344" s="39"/>
      <c r="P344" s="262">
        <v>0</v>
      </c>
      <c r="Q344" s="510"/>
      <c r="R344" s="262">
        <v>0</v>
      </c>
      <c r="S344" s="510"/>
      <c r="T344" s="262">
        <v>0</v>
      </c>
      <c r="U344" s="521"/>
      <c r="V344" s="262">
        <v>0</v>
      </c>
      <c r="W344" s="510"/>
      <c r="X344" s="262">
        <v>0</v>
      </c>
      <c r="Y344" s="510"/>
    </row>
    <row r="345" spans="1:25" ht="12" customHeight="1">
      <c r="B345" s="86" t="s">
        <v>838</v>
      </c>
      <c r="C345" s="96" t="s">
        <v>839</v>
      </c>
      <c r="D345" s="97">
        <v>1</v>
      </c>
      <c r="E345" s="350" t="s">
        <v>840</v>
      </c>
      <c r="F345" s="339">
        <f t="shared" si="82"/>
        <v>109.5708532052453</v>
      </c>
      <c r="G345" s="372">
        <f>I528*M345</f>
        <v>109.5708532052453</v>
      </c>
      <c r="H345" s="308">
        <v>449.4</v>
      </c>
      <c r="I345" s="114">
        <f t="shared" si="83"/>
        <v>449.4</v>
      </c>
      <c r="J345" s="39"/>
      <c r="K345" s="187">
        <f t="shared" si="84"/>
        <v>4.1345276297582952E-2</v>
      </c>
      <c r="L345" s="188">
        <f>+L344+K345</f>
        <v>0.56144014779050266</v>
      </c>
      <c r="M345" s="189">
        <f t="shared" ref="M345:M351" si="85">+I345/$I$514</f>
        <v>4.4803343721834662E-4</v>
      </c>
      <c r="N345" s="190">
        <f>+N344+M345</f>
        <v>6.0839830261736737E-3</v>
      </c>
      <c r="O345" s="39"/>
      <c r="P345" s="262">
        <v>0</v>
      </c>
      <c r="Q345" s="510"/>
      <c r="R345" s="262">
        <v>0</v>
      </c>
      <c r="S345" s="510"/>
      <c r="T345" s="262">
        <v>0</v>
      </c>
      <c r="U345" s="521"/>
      <c r="V345" s="262">
        <v>1</v>
      </c>
      <c r="W345" s="510"/>
      <c r="X345" s="262">
        <v>1</v>
      </c>
      <c r="Y345" s="510"/>
    </row>
    <row r="346" spans="1:25" ht="12" customHeight="1">
      <c r="B346" s="86" t="s">
        <v>841</v>
      </c>
      <c r="C346" s="96" t="s">
        <v>842</v>
      </c>
      <c r="D346" s="97">
        <v>15</v>
      </c>
      <c r="E346" s="350" t="s">
        <v>843</v>
      </c>
      <c r="F346" s="339">
        <f t="shared" si="82"/>
        <v>59.281391295779578</v>
      </c>
      <c r="G346" s="372">
        <f>I528*M346</f>
        <v>889.22086943669365</v>
      </c>
      <c r="H346" s="308">
        <v>243.14</v>
      </c>
      <c r="I346" s="114">
        <f t="shared" si="83"/>
        <v>3647.1</v>
      </c>
      <c r="J346" s="39"/>
      <c r="K346" s="187">
        <f t="shared" si="84"/>
        <v>0.33553706538699329</v>
      </c>
      <c r="L346" s="188">
        <f>+L345+K346</f>
        <v>0.89697721317749601</v>
      </c>
      <c r="M346" s="189">
        <f t="shared" si="85"/>
        <v>3.6360096770783976E-3</v>
      </c>
      <c r="N346" s="190">
        <f>+N345+M346</f>
        <v>9.7199927032520714E-3</v>
      </c>
      <c r="O346" s="39"/>
      <c r="P346" s="262">
        <v>0</v>
      </c>
      <c r="Q346" s="510"/>
      <c r="R346" s="262">
        <v>0</v>
      </c>
      <c r="S346" s="510"/>
      <c r="T346" s="262">
        <v>0</v>
      </c>
      <c r="U346" s="521"/>
      <c r="V346" s="262">
        <v>1</v>
      </c>
      <c r="W346" s="510"/>
      <c r="X346" s="262">
        <v>1</v>
      </c>
      <c r="Y346" s="510"/>
    </row>
    <row r="347" spans="1:25" ht="12" customHeight="1">
      <c r="B347" s="86" t="s">
        <v>844</v>
      </c>
      <c r="C347" s="96" t="s">
        <v>848</v>
      </c>
      <c r="D347" s="97">
        <v>1</v>
      </c>
      <c r="E347" s="350" t="s">
        <v>849</v>
      </c>
      <c r="F347" s="339">
        <f t="shared" si="82"/>
        <v>5.2176596764402516</v>
      </c>
      <c r="G347" s="372">
        <f>I528*M347</f>
        <v>5.2176596764402516</v>
      </c>
      <c r="H347" s="308">
        <v>21.4</v>
      </c>
      <c r="I347" s="114">
        <f t="shared" si="83"/>
        <v>21.4</v>
      </c>
      <c r="J347" s="39"/>
      <c r="K347" s="187">
        <f t="shared" si="84"/>
        <v>1.9688226808372835E-3</v>
      </c>
      <c r="L347" s="188">
        <f>+L346+K347</f>
        <v>0.89894603585833333</v>
      </c>
      <c r="M347" s="189">
        <f t="shared" si="85"/>
        <v>2.1334925581826027E-5</v>
      </c>
      <c r="N347" s="190">
        <f>+N346+M347</f>
        <v>9.7413276288338974E-3</v>
      </c>
      <c r="O347" s="39"/>
      <c r="P347" s="262">
        <v>0</v>
      </c>
      <c r="Q347" s="510"/>
      <c r="R347" s="262">
        <v>0</v>
      </c>
      <c r="S347" s="510"/>
      <c r="T347" s="262">
        <v>0</v>
      </c>
      <c r="U347" s="521"/>
      <c r="V347" s="262">
        <v>0</v>
      </c>
      <c r="W347" s="510"/>
      <c r="X347" s="262">
        <v>0</v>
      </c>
      <c r="Y347" s="510"/>
    </row>
    <row r="348" spans="1:25" ht="12" customHeight="1">
      <c r="B348" s="86" t="s">
        <v>850</v>
      </c>
      <c r="C348" s="96" t="s">
        <v>851</v>
      </c>
      <c r="D348" s="97">
        <v>16</v>
      </c>
      <c r="E348" s="350" t="s">
        <v>852</v>
      </c>
      <c r="F348" s="345">
        <f t="shared" si="82"/>
        <v>16.737959662973054</v>
      </c>
      <c r="G348" s="372">
        <f>I528*M348</f>
        <v>267.80735460756887</v>
      </c>
      <c r="H348" s="308">
        <v>68.650000000000006</v>
      </c>
      <c r="I348" s="114">
        <f t="shared" si="83"/>
        <v>1098.4000000000001</v>
      </c>
      <c r="J348" s="39"/>
      <c r="K348" s="187">
        <f t="shared" si="84"/>
        <v>0.10105396414166694</v>
      </c>
      <c r="L348" s="188">
        <f>+L347+K348</f>
        <v>1.0000000000000002</v>
      </c>
      <c r="M348" s="189">
        <f t="shared" si="85"/>
        <v>1.0950599186484913E-3</v>
      </c>
      <c r="N348" s="191">
        <f>+N347+M348</f>
        <v>1.0836387547482389E-2</v>
      </c>
      <c r="O348" s="39"/>
      <c r="P348" s="262">
        <v>0</v>
      </c>
      <c r="Q348" s="511"/>
      <c r="R348" s="262">
        <v>0</v>
      </c>
      <c r="S348" s="511"/>
      <c r="T348" s="262">
        <v>1</v>
      </c>
      <c r="U348" s="522"/>
      <c r="V348" s="262">
        <v>1</v>
      </c>
      <c r="W348" s="511"/>
      <c r="X348" s="262">
        <v>1</v>
      </c>
      <c r="Y348" s="511"/>
    </row>
    <row r="349" spans="1:25" ht="12" customHeight="1">
      <c r="A349" s="291" t="s">
        <v>70</v>
      </c>
      <c r="B349" s="158"/>
      <c r="C349" s="159" t="s">
        <v>582</v>
      </c>
      <c r="D349" s="160"/>
      <c r="E349" s="359"/>
      <c r="F349" s="394">
        <f>+G349/D$3</f>
        <v>0.61470694408138959</v>
      </c>
      <c r="G349" s="377">
        <f>SUM(G350:G390)</f>
        <v>566.02830117958433</v>
      </c>
      <c r="H349" s="313"/>
      <c r="I349" s="161">
        <f>SUM(I350:I390)</f>
        <v>28771.490000000009</v>
      </c>
      <c r="J349" s="39"/>
      <c r="K349" s="552" t="str">
        <f>+C349</f>
        <v>Cabeamento Estruturado</v>
      </c>
      <c r="L349" s="553"/>
      <c r="M349" s="170">
        <f t="shared" si="85"/>
        <v>2.8683999907862242E-2</v>
      </c>
      <c r="N349" s="171"/>
      <c r="O349" s="38"/>
      <c r="P349" s="261">
        <f>SUMPRODUCT( P350:P390,$M$350:$M$390)</f>
        <v>0</v>
      </c>
      <c r="Q349" s="510">
        <f>+P349/$M$349</f>
        <v>0</v>
      </c>
      <c r="R349" s="261">
        <f>SUMPRODUCT( R350:R390,$M$350:$M$390)</f>
        <v>0</v>
      </c>
      <c r="S349" s="510">
        <f>+R349/$M$349</f>
        <v>0</v>
      </c>
      <c r="T349" s="261">
        <f>SUMPRODUCT( T350:T390,$M$350:$M$390)</f>
        <v>0</v>
      </c>
      <c r="U349" s="521">
        <f>+T349/$M$349</f>
        <v>0</v>
      </c>
      <c r="V349" s="261">
        <f>SUMPRODUCT( V350:V390,$M$350:$M$390)</f>
        <v>0</v>
      </c>
      <c r="W349" s="510">
        <f>+V349/$M$349</f>
        <v>0</v>
      </c>
      <c r="X349" s="261">
        <f>SUMPRODUCT( X350:X390,$M$350:$M$390)</f>
        <v>0</v>
      </c>
      <c r="Y349" s="510">
        <f>+X349/$M$349</f>
        <v>0</v>
      </c>
    </row>
    <row r="350" spans="1:25" ht="12" customHeight="1">
      <c r="B350" s="86" t="s">
        <v>853</v>
      </c>
      <c r="C350" s="96" t="s">
        <v>854</v>
      </c>
      <c r="D350" s="97">
        <v>3500</v>
      </c>
      <c r="E350" s="350" t="s">
        <v>855</v>
      </c>
      <c r="F350" s="346">
        <f t="shared" si="82"/>
        <v>0</v>
      </c>
      <c r="G350" s="372">
        <v>0</v>
      </c>
      <c r="H350" s="308">
        <v>2.16</v>
      </c>
      <c r="I350" s="114">
        <f t="shared" ref="I350:I390" si="86">$D350*$H350</f>
        <v>7560.0000000000009</v>
      </c>
      <c r="J350" s="39"/>
      <c r="K350" s="187">
        <f>+I350/$I$349</f>
        <v>0.26276011426589302</v>
      </c>
      <c r="L350" s="188">
        <f>+K350</f>
        <v>0.26276011426589302</v>
      </c>
      <c r="M350" s="189">
        <f t="shared" si="85"/>
        <v>7.5370110933927481E-3</v>
      </c>
      <c r="N350" s="190">
        <f>+M350</f>
        <v>7.5370110933927481E-3</v>
      </c>
      <c r="O350" s="39"/>
      <c r="P350" s="262">
        <v>0</v>
      </c>
      <c r="Q350" s="510"/>
      <c r="R350" s="262">
        <v>0</v>
      </c>
      <c r="S350" s="510"/>
      <c r="T350" s="262">
        <v>0</v>
      </c>
      <c r="U350" s="521"/>
      <c r="V350" s="262">
        <v>0</v>
      </c>
      <c r="W350" s="510"/>
      <c r="X350" s="262">
        <v>0</v>
      </c>
      <c r="Y350" s="510"/>
    </row>
    <row r="351" spans="1:25" ht="12" customHeight="1">
      <c r="B351" s="86" t="s">
        <v>856</v>
      </c>
      <c r="C351" s="96" t="s">
        <v>857</v>
      </c>
      <c r="D351" s="97">
        <v>45</v>
      </c>
      <c r="E351" s="350" t="s">
        <v>858</v>
      </c>
      <c r="F351" s="339">
        <f t="shared" si="82"/>
        <v>0.70706603091947351</v>
      </c>
      <c r="G351" s="372">
        <f>I528*M351</f>
        <v>31.817971391376307</v>
      </c>
      <c r="H351" s="308">
        <v>2.9</v>
      </c>
      <c r="I351" s="114">
        <f t="shared" si="86"/>
        <v>130.5</v>
      </c>
      <c r="J351" s="39"/>
      <c r="K351" s="187">
        <f>+I351/$I$349</f>
        <v>4.535740067685058E-3</v>
      </c>
      <c r="L351" s="188">
        <f>+L350+K351</f>
        <v>0.26729585433357805</v>
      </c>
      <c r="M351" s="189">
        <f t="shared" si="85"/>
        <v>1.3010316768356529E-4</v>
      </c>
      <c r="N351" s="190">
        <f>+N350+M351</f>
        <v>7.6671142610763134E-3</v>
      </c>
      <c r="O351" s="39"/>
      <c r="P351" s="262">
        <v>0</v>
      </c>
      <c r="Q351" s="510"/>
      <c r="R351" s="262">
        <v>0</v>
      </c>
      <c r="S351" s="510"/>
      <c r="T351" s="262">
        <v>0</v>
      </c>
      <c r="U351" s="521"/>
      <c r="V351" s="262">
        <v>0</v>
      </c>
      <c r="W351" s="510"/>
      <c r="X351" s="262">
        <v>0</v>
      </c>
      <c r="Y351" s="510"/>
    </row>
    <row r="352" spans="1:25" ht="12" customHeight="1">
      <c r="B352" s="86" t="s">
        <v>859</v>
      </c>
      <c r="C352" s="96" t="s">
        <v>860</v>
      </c>
      <c r="D352" s="97">
        <v>9</v>
      </c>
      <c r="E352" s="350" t="s">
        <v>861</v>
      </c>
      <c r="F352" s="339">
        <f t="shared" si="82"/>
        <v>4.5374133915211727</v>
      </c>
      <c r="G352" s="372">
        <f>I528*M352</f>
        <v>40.836720523690552</v>
      </c>
      <c r="H352" s="308">
        <v>18.61</v>
      </c>
      <c r="I352" s="114">
        <f t="shared" si="86"/>
        <v>167.49</v>
      </c>
      <c r="J352" s="39"/>
      <c r="K352" s="187">
        <f t="shared" ref="K352:K390" si="87">+I352/$I$349</f>
        <v>5.8213877696288918E-3</v>
      </c>
      <c r="L352" s="188">
        <f t="shared" ref="L352:L390" si="88">+L351+K352</f>
        <v>0.27311724210320693</v>
      </c>
      <c r="M352" s="189">
        <f t="shared" ref="M352:M393" si="89">+I352/$I$514</f>
        <v>1.669806862476655E-4</v>
      </c>
      <c r="N352" s="190">
        <f t="shared" ref="N352:N390" si="90">+N351+M352</f>
        <v>7.8340949473239795E-3</v>
      </c>
      <c r="O352" s="39"/>
      <c r="P352" s="262">
        <v>0</v>
      </c>
      <c r="Q352" s="510"/>
      <c r="R352" s="262">
        <v>0</v>
      </c>
      <c r="S352" s="510"/>
      <c r="T352" s="262">
        <v>0</v>
      </c>
      <c r="U352" s="521"/>
      <c r="V352" s="262">
        <v>0</v>
      </c>
      <c r="W352" s="510"/>
      <c r="X352" s="262">
        <v>0</v>
      </c>
      <c r="Y352" s="510"/>
    </row>
    <row r="353" spans="2:25" ht="12" customHeight="1">
      <c r="B353" s="86" t="s">
        <v>862</v>
      </c>
      <c r="C353" s="96" t="s">
        <v>863</v>
      </c>
      <c r="D353" s="97">
        <v>108</v>
      </c>
      <c r="E353" s="350" t="s">
        <v>864</v>
      </c>
      <c r="F353" s="339">
        <f t="shared" si="82"/>
        <v>0</v>
      </c>
      <c r="G353" s="372">
        <v>0</v>
      </c>
      <c r="H353" s="308">
        <v>18.8</v>
      </c>
      <c r="I353" s="114">
        <f t="shared" si="86"/>
        <v>2030.4</v>
      </c>
      <c r="J353" s="39"/>
      <c r="K353" s="187">
        <f t="shared" si="87"/>
        <v>7.0569859259982687E-2</v>
      </c>
      <c r="L353" s="188">
        <f t="shared" si="88"/>
        <v>0.34368710136318958</v>
      </c>
      <c r="M353" s="189">
        <f t="shared" si="89"/>
        <v>2.0242258365111951E-3</v>
      </c>
      <c r="N353" s="190">
        <f t="shared" si="90"/>
        <v>9.8583207838351741E-3</v>
      </c>
      <c r="O353" s="39"/>
      <c r="P353" s="262">
        <v>0</v>
      </c>
      <c r="Q353" s="510"/>
      <c r="R353" s="262">
        <v>0</v>
      </c>
      <c r="S353" s="510"/>
      <c r="T353" s="262">
        <v>0</v>
      </c>
      <c r="U353" s="521"/>
      <c r="V353" s="262">
        <v>0</v>
      </c>
      <c r="W353" s="510"/>
      <c r="X353" s="262">
        <v>0</v>
      </c>
      <c r="Y353" s="510"/>
    </row>
    <row r="354" spans="2:25" ht="12" customHeight="1">
      <c r="B354" s="86" t="s">
        <v>865</v>
      </c>
      <c r="C354" s="96" t="s">
        <v>866</v>
      </c>
      <c r="D354" s="97">
        <v>54</v>
      </c>
      <c r="E354" s="350" t="s">
        <v>867</v>
      </c>
      <c r="F354" s="339">
        <f t="shared" si="82"/>
        <v>1.8164282518448542</v>
      </c>
      <c r="G354" s="372">
        <f>I528*M354</f>
        <v>98.087125599622127</v>
      </c>
      <c r="H354" s="308">
        <v>7.45</v>
      </c>
      <c r="I354" s="114">
        <f t="shared" si="86"/>
        <v>402.3</v>
      </c>
      <c r="J354" s="39"/>
      <c r="K354" s="187">
        <f t="shared" si="87"/>
        <v>1.3982591794863592E-2</v>
      </c>
      <c r="L354" s="188">
        <f t="shared" si="88"/>
        <v>0.35766969315805319</v>
      </c>
      <c r="M354" s="189">
        <f t="shared" si="89"/>
        <v>4.0107666175554261E-4</v>
      </c>
      <c r="N354" s="190">
        <f t="shared" si="90"/>
        <v>1.0259397445590717E-2</v>
      </c>
      <c r="O354" s="39"/>
      <c r="P354" s="262">
        <v>0</v>
      </c>
      <c r="Q354" s="510"/>
      <c r="R354" s="262">
        <v>0</v>
      </c>
      <c r="S354" s="510"/>
      <c r="T354" s="262">
        <v>0</v>
      </c>
      <c r="U354" s="521"/>
      <c r="V354" s="262">
        <v>0</v>
      </c>
      <c r="W354" s="510"/>
      <c r="X354" s="262">
        <v>0</v>
      </c>
      <c r="Y354" s="510"/>
    </row>
    <row r="355" spans="2:25" ht="12" customHeight="1">
      <c r="B355" s="86" t="s">
        <v>868</v>
      </c>
      <c r="C355" s="96" t="s">
        <v>869</v>
      </c>
      <c r="D355" s="97">
        <v>216</v>
      </c>
      <c r="E355" s="350" t="s">
        <v>870</v>
      </c>
      <c r="F355" s="339">
        <f t="shared" si="82"/>
        <v>0.78508711019334654</v>
      </c>
      <c r="G355" s="372">
        <f>I528*M355</f>
        <v>169.57881580176286</v>
      </c>
      <c r="H355" s="308">
        <v>3.22</v>
      </c>
      <c r="I355" s="114">
        <f t="shared" si="86"/>
        <v>695.5200000000001</v>
      </c>
      <c r="J355" s="39"/>
      <c r="K355" s="187">
        <f t="shared" si="87"/>
        <v>2.4173930512462159E-2</v>
      </c>
      <c r="L355" s="188">
        <f t="shared" si="88"/>
        <v>0.38184362367051533</v>
      </c>
      <c r="M355" s="189">
        <f t="shared" si="89"/>
        <v>6.9340502059213284E-4</v>
      </c>
      <c r="N355" s="190">
        <f t="shared" si="90"/>
        <v>1.095280246618285E-2</v>
      </c>
      <c r="O355" s="39"/>
      <c r="P355" s="262">
        <v>0</v>
      </c>
      <c r="Q355" s="510"/>
      <c r="R355" s="262">
        <v>0</v>
      </c>
      <c r="S355" s="510"/>
      <c r="T355" s="262">
        <v>0</v>
      </c>
      <c r="U355" s="521"/>
      <c r="V355" s="262">
        <v>0</v>
      </c>
      <c r="W355" s="510"/>
      <c r="X355" s="262">
        <v>0</v>
      </c>
      <c r="Y355" s="510"/>
    </row>
    <row r="356" spans="2:25" ht="12" customHeight="1">
      <c r="B356" s="153"/>
      <c r="C356" s="96" t="s">
        <v>871</v>
      </c>
      <c r="D356" s="97"/>
      <c r="E356" s="350"/>
      <c r="F356" s="339" t="e">
        <f t="shared" si="82"/>
        <v>#DIV/0!</v>
      </c>
      <c r="G356" s="372">
        <f>I528*M356</f>
        <v>0</v>
      </c>
      <c r="H356" s="308"/>
      <c r="I356" s="114">
        <f t="shared" si="86"/>
        <v>0</v>
      </c>
      <c r="J356" s="39"/>
      <c r="K356" s="187">
        <f t="shared" si="87"/>
        <v>0</v>
      </c>
      <c r="L356" s="188">
        <f t="shared" si="88"/>
        <v>0.38184362367051533</v>
      </c>
      <c r="M356" s="189">
        <f t="shared" si="89"/>
        <v>0</v>
      </c>
      <c r="N356" s="190">
        <f t="shared" si="90"/>
        <v>1.095280246618285E-2</v>
      </c>
      <c r="O356" s="39"/>
      <c r="P356" s="262">
        <v>0</v>
      </c>
      <c r="Q356" s="510"/>
      <c r="R356" s="262">
        <v>0</v>
      </c>
      <c r="S356" s="510"/>
      <c r="T356" s="262">
        <v>0</v>
      </c>
      <c r="U356" s="521"/>
      <c r="V356" s="262">
        <v>0</v>
      </c>
      <c r="W356" s="510"/>
      <c r="X356" s="262">
        <v>0</v>
      </c>
      <c r="Y356" s="510"/>
    </row>
    <row r="357" spans="2:25" ht="12" customHeight="1">
      <c r="B357" s="86" t="s">
        <v>872</v>
      </c>
      <c r="C357" s="96" t="s">
        <v>873</v>
      </c>
      <c r="D357" s="97">
        <v>5</v>
      </c>
      <c r="E357" s="350" t="s">
        <v>874</v>
      </c>
      <c r="F357" s="339">
        <f t="shared" si="82"/>
        <v>0</v>
      </c>
      <c r="G357" s="372">
        <v>0</v>
      </c>
      <c r="H357" s="308">
        <v>534.5</v>
      </c>
      <c r="I357" s="114">
        <f t="shared" si="86"/>
        <v>2672.5</v>
      </c>
      <c r="J357" s="39"/>
      <c r="K357" s="187">
        <f t="shared" si="87"/>
        <v>9.2887090658148014E-2</v>
      </c>
      <c r="L357" s="188">
        <f t="shared" si="88"/>
        <v>0.47473071432866332</v>
      </c>
      <c r="M357" s="189">
        <f t="shared" si="89"/>
        <v>2.6643732998799094E-3</v>
      </c>
      <c r="N357" s="190">
        <f t="shared" si="90"/>
        <v>1.3617175766062761E-2</v>
      </c>
      <c r="O357" s="39"/>
      <c r="P357" s="262">
        <v>0</v>
      </c>
      <c r="Q357" s="510"/>
      <c r="R357" s="262">
        <v>0</v>
      </c>
      <c r="S357" s="510"/>
      <c r="T357" s="262">
        <v>0</v>
      </c>
      <c r="U357" s="521"/>
      <c r="V357" s="262">
        <v>0</v>
      </c>
      <c r="W357" s="510"/>
      <c r="X357" s="262">
        <v>0</v>
      </c>
      <c r="Y357" s="510"/>
    </row>
    <row r="358" spans="2:25" ht="12" customHeight="1">
      <c r="B358" s="86" t="s">
        <v>875</v>
      </c>
      <c r="C358" s="96" t="s">
        <v>876</v>
      </c>
      <c r="D358" s="97">
        <v>2</v>
      </c>
      <c r="E358" s="350" t="s">
        <v>877</v>
      </c>
      <c r="F358" s="339">
        <f t="shared" si="82"/>
        <v>0</v>
      </c>
      <c r="G358" s="372">
        <v>0</v>
      </c>
      <c r="H358" s="308">
        <v>792.16</v>
      </c>
      <c r="I358" s="114">
        <f t="shared" si="86"/>
        <v>1584.32</v>
      </c>
      <c r="J358" s="39"/>
      <c r="K358" s="187">
        <f t="shared" si="87"/>
        <v>5.5065622253140156E-2</v>
      </c>
      <c r="L358" s="188">
        <f t="shared" si="88"/>
        <v>0.52979633658180347</v>
      </c>
      <c r="M358" s="189">
        <f t="shared" si="89"/>
        <v>1.5795023036354492E-3</v>
      </c>
      <c r="N358" s="190">
        <f t="shared" si="90"/>
        <v>1.5196678069698211E-2</v>
      </c>
      <c r="O358" s="39"/>
      <c r="P358" s="262">
        <v>0</v>
      </c>
      <c r="Q358" s="510"/>
      <c r="R358" s="262">
        <v>0</v>
      </c>
      <c r="S358" s="510"/>
      <c r="T358" s="262">
        <v>0</v>
      </c>
      <c r="U358" s="521"/>
      <c r="V358" s="262">
        <v>0</v>
      </c>
      <c r="W358" s="510"/>
      <c r="X358" s="262">
        <v>0</v>
      </c>
      <c r="Y358" s="510"/>
    </row>
    <row r="359" spans="2:25" ht="12" customHeight="1">
      <c r="B359" s="86" t="s">
        <v>878</v>
      </c>
      <c r="C359" s="96" t="s">
        <v>879</v>
      </c>
      <c r="D359" s="97">
        <v>8</v>
      </c>
      <c r="E359" s="350" t="s">
        <v>880</v>
      </c>
      <c r="F359" s="339">
        <f t="shared" si="82"/>
        <v>0</v>
      </c>
      <c r="G359" s="372">
        <v>0</v>
      </c>
      <c r="H359" s="308">
        <v>11.62</v>
      </c>
      <c r="I359" s="114">
        <f t="shared" si="86"/>
        <v>92.96</v>
      </c>
      <c r="J359" s="39"/>
      <c r="K359" s="187">
        <f t="shared" si="87"/>
        <v>3.2309762198620916E-3</v>
      </c>
      <c r="L359" s="188">
        <f t="shared" si="88"/>
        <v>0.5330273128016656</v>
      </c>
      <c r="M359" s="189">
        <f t="shared" si="89"/>
        <v>9.2677321592829319E-5</v>
      </c>
      <c r="N359" s="190">
        <f t="shared" si="90"/>
        <v>1.5289355391291041E-2</v>
      </c>
      <c r="O359" s="39"/>
      <c r="P359" s="262">
        <v>0</v>
      </c>
      <c r="Q359" s="510"/>
      <c r="R359" s="262">
        <v>0</v>
      </c>
      <c r="S359" s="510"/>
      <c r="T359" s="262">
        <v>0</v>
      </c>
      <c r="U359" s="521"/>
      <c r="V359" s="262">
        <v>0</v>
      </c>
      <c r="W359" s="510"/>
      <c r="X359" s="262">
        <v>0</v>
      </c>
      <c r="Y359" s="510"/>
    </row>
    <row r="360" spans="2:25" ht="12" customHeight="1">
      <c r="B360" s="86" t="s">
        <v>881</v>
      </c>
      <c r="C360" s="96" t="s">
        <v>882</v>
      </c>
      <c r="D360" s="97">
        <v>2</v>
      </c>
      <c r="E360" s="350" t="s">
        <v>883</v>
      </c>
      <c r="F360" s="339">
        <f t="shared" si="82"/>
        <v>0</v>
      </c>
      <c r="G360" s="372">
        <v>0</v>
      </c>
      <c r="H360" s="308">
        <v>37.270000000000003</v>
      </c>
      <c r="I360" s="114">
        <f t="shared" si="86"/>
        <v>74.540000000000006</v>
      </c>
      <c r="J360" s="39"/>
      <c r="K360" s="187">
        <f t="shared" si="87"/>
        <v>2.5907591160555113E-3</v>
      </c>
      <c r="L360" s="188">
        <f t="shared" si="88"/>
        <v>0.53561807191772115</v>
      </c>
      <c r="M360" s="189">
        <f t="shared" si="89"/>
        <v>7.4313334246229549E-5</v>
      </c>
      <c r="N360" s="190">
        <f t="shared" si="90"/>
        <v>1.536366872553727E-2</v>
      </c>
      <c r="O360" s="39"/>
      <c r="P360" s="262">
        <v>0</v>
      </c>
      <c r="Q360" s="510"/>
      <c r="R360" s="262">
        <v>0</v>
      </c>
      <c r="S360" s="510"/>
      <c r="T360" s="262">
        <v>0</v>
      </c>
      <c r="U360" s="521"/>
      <c r="V360" s="262">
        <v>0</v>
      </c>
      <c r="W360" s="510"/>
      <c r="X360" s="262">
        <v>0</v>
      </c>
      <c r="Y360" s="510"/>
    </row>
    <row r="361" spans="2:25" ht="12" customHeight="1">
      <c r="B361" s="86" t="s">
        <v>884</v>
      </c>
      <c r="C361" s="96" t="s">
        <v>885</v>
      </c>
      <c r="D361" s="97">
        <v>38</v>
      </c>
      <c r="E361" s="350" t="s">
        <v>886</v>
      </c>
      <c r="F361" s="339">
        <f t="shared" si="82"/>
        <v>0</v>
      </c>
      <c r="G361" s="372">
        <v>0</v>
      </c>
      <c r="H361" s="308">
        <v>5.22</v>
      </c>
      <c r="I361" s="114">
        <f t="shared" si="86"/>
        <v>198.35999999999999</v>
      </c>
      <c r="J361" s="39"/>
      <c r="K361" s="187">
        <f t="shared" si="87"/>
        <v>6.8943249028812874E-3</v>
      </c>
      <c r="L361" s="188">
        <f t="shared" si="88"/>
        <v>0.54251239682060248</v>
      </c>
      <c r="M361" s="189">
        <f t="shared" si="89"/>
        <v>1.9775681487901921E-4</v>
      </c>
      <c r="N361" s="190">
        <f t="shared" si="90"/>
        <v>1.5561425540416288E-2</v>
      </c>
      <c r="O361" s="39"/>
      <c r="P361" s="262">
        <v>0</v>
      </c>
      <c r="Q361" s="510"/>
      <c r="R361" s="262">
        <v>0</v>
      </c>
      <c r="S361" s="510"/>
      <c r="T361" s="262">
        <v>0</v>
      </c>
      <c r="U361" s="521"/>
      <c r="V361" s="262">
        <v>0</v>
      </c>
      <c r="W361" s="510"/>
      <c r="X361" s="262">
        <v>0</v>
      </c>
      <c r="Y361" s="510"/>
    </row>
    <row r="362" spans="2:25" ht="12" customHeight="1">
      <c r="B362" s="86" t="s">
        <v>887</v>
      </c>
      <c r="C362" s="96" t="s">
        <v>888</v>
      </c>
      <c r="D362" s="97">
        <v>2</v>
      </c>
      <c r="E362" s="350" t="s">
        <v>889</v>
      </c>
      <c r="F362" s="339">
        <f t="shared" si="82"/>
        <v>0</v>
      </c>
      <c r="G362" s="372">
        <v>0</v>
      </c>
      <c r="H362" s="308">
        <v>42.58</v>
      </c>
      <c r="I362" s="114">
        <f t="shared" si="86"/>
        <v>85.16</v>
      </c>
      <c r="J362" s="39"/>
      <c r="K362" s="187">
        <f t="shared" si="87"/>
        <v>2.9598745146671226E-3</v>
      </c>
      <c r="L362" s="188">
        <f t="shared" si="88"/>
        <v>0.54547227133526965</v>
      </c>
      <c r="M362" s="189">
        <f t="shared" si="89"/>
        <v>8.490104030599554E-5</v>
      </c>
      <c r="N362" s="190">
        <f t="shared" si="90"/>
        <v>1.5646326580722285E-2</v>
      </c>
      <c r="O362" s="39"/>
      <c r="P362" s="262">
        <v>0</v>
      </c>
      <c r="Q362" s="510"/>
      <c r="R362" s="262">
        <v>0</v>
      </c>
      <c r="S362" s="510"/>
      <c r="T362" s="262">
        <v>0</v>
      </c>
      <c r="U362" s="521"/>
      <c r="V362" s="262">
        <v>0</v>
      </c>
      <c r="W362" s="510"/>
      <c r="X362" s="262">
        <v>0</v>
      </c>
      <c r="Y362" s="510"/>
    </row>
    <row r="363" spans="2:25" ht="12" customHeight="1">
      <c r="B363" s="86" t="s">
        <v>890</v>
      </c>
      <c r="C363" s="96" t="s">
        <v>891</v>
      </c>
      <c r="D363" s="97">
        <v>1</v>
      </c>
      <c r="E363" s="350" t="s">
        <v>892</v>
      </c>
      <c r="F363" s="339">
        <f t="shared" si="82"/>
        <v>0</v>
      </c>
      <c r="G363" s="372">
        <v>0</v>
      </c>
      <c r="H363" s="308">
        <v>166.44</v>
      </c>
      <c r="I363" s="114">
        <f t="shared" si="86"/>
        <v>166.44</v>
      </c>
      <c r="J363" s="39"/>
      <c r="K363" s="187">
        <f t="shared" si="87"/>
        <v>5.7848933093141838E-3</v>
      </c>
      <c r="L363" s="188">
        <f t="shared" si="88"/>
        <v>0.55125716464458385</v>
      </c>
      <c r="M363" s="189">
        <f t="shared" si="89"/>
        <v>1.6593387915136095E-4</v>
      </c>
      <c r="N363" s="190">
        <f t="shared" si="90"/>
        <v>1.5812260459873644E-2</v>
      </c>
      <c r="O363" s="39"/>
      <c r="P363" s="262">
        <v>0</v>
      </c>
      <c r="Q363" s="510"/>
      <c r="R363" s="262">
        <v>0</v>
      </c>
      <c r="S363" s="510"/>
      <c r="T363" s="262">
        <v>0</v>
      </c>
      <c r="U363" s="521"/>
      <c r="V363" s="262">
        <v>0</v>
      </c>
      <c r="W363" s="510"/>
      <c r="X363" s="262">
        <v>0</v>
      </c>
      <c r="Y363" s="510"/>
    </row>
    <row r="364" spans="2:25" ht="12" customHeight="1">
      <c r="B364" s="86" t="s">
        <v>893</v>
      </c>
      <c r="C364" s="96" t="s">
        <v>894</v>
      </c>
      <c r="D364" s="97">
        <v>1</v>
      </c>
      <c r="E364" s="350" t="s">
        <v>895</v>
      </c>
      <c r="F364" s="339">
        <f t="shared" si="82"/>
        <v>0</v>
      </c>
      <c r="G364" s="372">
        <v>0</v>
      </c>
      <c r="H364" s="308">
        <v>45.33</v>
      </c>
      <c r="I364" s="114">
        <f t="shared" si="86"/>
        <v>45.33</v>
      </c>
      <c r="J364" s="39"/>
      <c r="K364" s="187">
        <f t="shared" si="87"/>
        <v>1.5755179867292235E-3</v>
      </c>
      <c r="L364" s="188">
        <f t="shared" si="88"/>
        <v>0.55283268263131302</v>
      </c>
      <c r="M364" s="189">
        <f t="shared" si="89"/>
        <v>4.5192157786176347E-5</v>
      </c>
      <c r="N364" s="190">
        <f t="shared" si="90"/>
        <v>1.585745261765982E-2</v>
      </c>
      <c r="O364" s="39"/>
      <c r="P364" s="262">
        <v>0</v>
      </c>
      <c r="Q364" s="510"/>
      <c r="R364" s="262">
        <v>0</v>
      </c>
      <c r="S364" s="510"/>
      <c r="T364" s="262">
        <v>0</v>
      </c>
      <c r="U364" s="521"/>
      <c r="V364" s="262">
        <v>0</v>
      </c>
      <c r="W364" s="510"/>
      <c r="X364" s="262">
        <v>0</v>
      </c>
      <c r="Y364" s="510"/>
    </row>
    <row r="365" spans="2:25" ht="12" customHeight="1">
      <c r="B365" s="86" t="s">
        <v>896</v>
      </c>
      <c r="C365" s="96" t="s">
        <v>897</v>
      </c>
      <c r="D365" s="97">
        <v>30</v>
      </c>
      <c r="E365" s="350" t="s">
        <v>898</v>
      </c>
      <c r="F365" s="339">
        <f t="shared" si="82"/>
        <v>0</v>
      </c>
      <c r="G365" s="372">
        <v>0</v>
      </c>
      <c r="H365" s="308">
        <v>15.39</v>
      </c>
      <c r="I365" s="114">
        <f t="shared" si="86"/>
        <v>461.70000000000005</v>
      </c>
      <c r="J365" s="39"/>
      <c r="K365" s="187">
        <f t="shared" si="87"/>
        <v>1.6047135549809896E-2</v>
      </c>
      <c r="L365" s="188">
        <f t="shared" si="88"/>
        <v>0.56887981818112288</v>
      </c>
      <c r="M365" s="189">
        <f t="shared" si="89"/>
        <v>4.6029603463219995E-4</v>
      </c>
      <c r="N365" s="190">
        <f t="shared" si="90"/>
        <v>1.6317748652292019E-2</v>
      </c>
      <c r="O365" s="39"/>
      <c r="P365" s="262">
        <v>0</v>
      </c>
      <c r="Q365" s="510"/>
      <c r="R365" s="262">
        <v>0</v>
      </c>
      <c r="S365" s="510"/>
      <c r="T365" s="262">
        <v>0</v>
      </c>
      <c r="U365" s="521"/>
      <c r="V365" s="262">
        <v>0</v>
      </c>
      <c r="W365" s="510"/>
      <c r="X365" s="262">
        <v>0</v>
      </c>
      <c r="Y365" s="510"/>
    </row>
    <row r="366" spans="2:25" ht="12" customHeight="1">
      <c r="B366" s="86" t="s">
        <v>899</v>
      </c>
      <c r="C366" s="96" t="s">
        <v>900</v>
      </c>
      <c r="D366" s="97">
        <v>15</v>
      </c>
      <c r="E366" s="350" t="s">
        <v>901</v>
      </c>
      <c r="F366" s="339">
        <f t="shared" si="82"/>
        <v>0</v>
      </c>
      <c r="G366" s="372">
        <v>0</v>
      </c>
      <c r="H366" s="308">
        <v>13.32</v>
      </c>
      <c r="I366" s="114">
        <f t="shared" si="86"/>
        <v>199.8</v>
      </c>
      <c r="J366" s="39"/>
      <c r="K366" s="187">
        <f t="shared" si="87"/>
        <v>6.9443744484557436E-3</v>
      </c>
      <c r="L366" s="188">
        <f t="shared" si="88"/>
        <v>0.57582419262957862</v>
      </c>
      <c r="M366" s="189">
        <f t="shared" si="89"/>
        <v>1.9919243603966547E-4</v>
      </c>
      <c r="N366" s="190">
        <f t="shared" si="90"/>
        <v>1.6516941088331686E-2</v>
      </c>
      <c r="O366" s="39"/>
      <c r="P366" s="262">
        <v>0</v>
      </c>
      <c r="Q366" s="510"/>
      <c r="R366" s="262">
        <v>0</v>
      </c>
      <c r="S366" s="510"/>
      <c r="T366" s="262">
        <v>0</v>
      </c>
      <c r="U366" s="521"/>
      <c r="V366" s="262">
        <v>0</v>
      </c>
      <c r="W366" s="510"/>
      <c r="X366" s="262">
        <v>0</v>
      </c>
      <c r="Y366" s="510"/>
    </row>
    <row r="367" spans="2:25" ht="12" customHeight="1">
      <c r="B367" s="86" t="s">
        <v>902</v>
      </c>
      <c r="C367" s="96" t="s">
        <v>903</v>
      </c>
      <c r="D367" s="97">
        <v>15</v>
      </c>
      <c r="E367" s="350" t="s">
        <v>904</v>
      </c>
      <c r="F367" s="339">
        <f t="shared" si="82"/>
        <v>0</v>
      </c>
      <c r="G367" s="372">
        <v>0</v>
      </c>
      <c r="H367" s="308">
        <v>14.66</v>
      </c>
      <c r="I367" s="114">
        <f t="shared" si="86"/>
        <v>219.9</v>
      </c>
      <c r="J367" s="39"/>
      <c r="K367" s="187">
        <f t="shared" si="87"/>
        <v>7.6429826887658564E-3</v>
      </c>
      <c r="L367" s="188">
        <f t="shared" si="88"/>
        <v>0.58346717531834447</v>
      </c>
      <c r="M367" s="189">
        <f t="shared" si="89"/>
        <v>2.1923131474035253E-4</v>
      </c>
      <c r="N367" s="190">
        <f t="shared" si="90"/>
        <v>1.6736172403072038E-2</v>
      </c>
      <c r="O367" s="39"/>
      <c r="P367" s="262">
        <v>0</v>
      </c>
      <c r="Q367" s="510"/>
      <c r="R367" s="262">
        <v>0</v>
      </c>
      <c r="S367" s="510"/>
      <c r="T367" s="262">
        <v>0</v>
      </c>
      <c r="U367" s="521"/>
      <c r="V367" s="262">
        <v>0</v>
      </c>
      <c r="W367" s="510"/>
      <c r="X367" s="262">
        <v>0</v>
      </c>
      <c r="Y367" s="510"/>
    </row>
    <row r="368" spans="2:25" ht="12" customHeight="1">
      <c r="B368" s="86" t="s">
        <v>905</v>
      </c>
      <c r="C368" s="96" t="s">
        <v>906</v>
      </c>
      <c r="D368" s="97">
        <v>35</v>
      </c>
      <c r="E368" s="350" t="s">
        <v>907</v>
      </c>
      <c r="F368" s="339">
        <f t="shared" si="82"/>
        <v>0</v>
      </c>
      <c r="G368" s="372">
        <v>0</v>
      </c>
      <c r="H368" s="308">
        <v>34.270000000000003</v>
      </c>
      <c r="I368" s="114">
        <f t="shared" si="86"/>
        <v>1199.45</v>
      </c>
      <c r="J368" s="39"/>
      <c r="K368" s="187">
        <f t="shared" si="87"/>
        <v>4.1688838499500711E-2</v>
      </c>
      <c r="L368" s="188">
        <f t="shared" si="88"/>
        <v>0.62515601381784514</v>
      </c>
      <c r="M368" s="189">
        <f t="shared" si="89"/>
        <v>1.1958026396785622E-3</v>
      </c>
      <c r="N368" s="190">
        <f t="shared" si="90"/>
        <v>1.7931975042750601E-2</v>
      </c>
      <c r="O368" s="39"/>
      <c r="P368" s="262">
        <v>0</v>
      </c>
      <c r="Q368" s="510"/>
      <c r="R368" s="262">
        <v>0</v>
      </c>
      <c r="S368" s="510"/>
      <c r="T368" s="262">
        <v>0</v>
      </c>
      <c r="U368" s="521"/>
      <c r="V368" s="262">
        <v>0</v>
      </c>
      <c r="W368" s="510"/>
      <c r="X368" s="262">
        <v>0</v>
      </c>
      <c r="Y368" s="510"/>
    </row>
    <row r="369" spans="2:25" ht="12" customHeight="1">
      <c r="B369" s="86" t="s">
        <v>908</v>
      </c>
      <c r="C369" s="96" t="s">
        <v>909</v>
      </c>
      <c r="D369" s="97">
        <v>2</v>
      </c>
      <c r="E369" s="350" t="s">
        <v>910</v>
      </c>
      <c r="F369" s="339">
        <f t="shared" si="82"/>
        <v>0</v>
      </c>
      <c r="G369" s="372">
        <v>0</v>
      </c>
      <c r="H369" s="308">
        <v>37.270000000000003</v>
      </c>
      <c r="I369" s="114">
        <f t="shared" si="86"/>
        <v>74.540000000000006</v>
      </c>
      <c r="J369" s="39"/>
      <c r="K369" s="187">
        <f t="shared" si="87"/>
        <v>2.5907591160555113E-3</v>
      </c>
      <c r="L369" s="188">
        <f t="shared" si="88"/>
        <v>0.62774677293390069</v>
      </c>
      <c r="M369" s="189">
        <f t="shared" si="89"/>
        <v>7.4313334246229549E-5</v>
      </c>
      <c r="N369" s="190">
        <f t="shared" si="90"/>
        <v>1.8006288376996832E-2</v>
      </c>
      <c r="O369" s="39"/>
      <c r="P369" s="262">
        <v>0</v>
      </c>
      <c r="Q369" s="510"/>
      <c r="R369" s="262">
        <v>0</v>
      </c>
      <c r="S369" s="510"/>
      <c r="T369" s="262">
        <v>0</v>
      </c>
      <c r="U369" s="521"/>
      <c r="V369" s="262">
        <v>0</v>
      </c>
      <c r="W369" s="510"/>
      <c r="X369" s="262">
        <v>0</v>
      </c>
      <c r="Y369" s="510"/>
    </row>
    <row r="370" spans="2:25" ht="12" customHeight="1">
      <c r="B370" s="86" t="s">
        <v>911</v>
      </c>
      <c r="C370" s="96" t="s">
        <v>912</v>
      </c>
      <c r="D370" s="97">
        <v>20</v>
      </c>
      <c r="E370" s="350" t="s">
        <v>913</v>
      </c>
      <c r="F370" s="339">
        <f t="shared" si="82"/>
        <v>0</v>
      </c>
      <c r="G370" s="372">
        <v>0</v>
      </c>
      <c r="H370" s="308">
        <v>21.64</v>
      </c>
      <c r="I370" s="114">
        <f t="shared" si="86"/>
        <v>432.8</v>
      </c>
      <c r="J370" s="39"/>
      <c r="K370" s="187">
        <f t="shared" si="87"/>
        <v>1.5042668975433663E-2</v>
      </c>
      <c r="L370" s="188">
        <f t="shared" si="88"/>
        <v>0.6427894419093344</v>
      </c>
      <c r="M370" s="189">
        <f t="shared" si="89"/>
        <v>4.3148391550534138E-4</v>
      </c>
      <c r="N370" s="190">
        <f t="shared" si="90"/>
        <v>1.8437772292502173E-2</v>
      </c>
      <c r="O370" s="39"/>
      <c r="P370" s="262">
        <v>0</v>
      </c>
      <c r="Q370" s="510"/>
      <c r="R370" s="262">
        <v>0</v>
      </c>
      <c r="S370" s="510"/>
      <c r="T370" s="262">
        <v>0</v>
      </c>
      <c r="U370" s="521"/>
      <c r="V370" s="262">
        <v>0</v>
      </c>
      <c r="W370" s="510"/>
      <c r="X370" s="262">
        <v>0</v>
      </c>
      <c r="Y370" s="510"/>
    </row>
    <row r="371" spans="2:25" ht="12" customHeight="1">
      <c r="B371" s="86" t="s">
        <v>914</v>
      </c>
      <c r="C371" s="96" t="s">
        <v>915</v>
      </c>
      <c r="D371" s="97">
        <v>10</v>
      </c>
      <c r="E371" s="350" t="s">
        <v>916</v>
      </c>
      <c r="F371" s="339">
        <f t="shared" si="82"/>
        <v>0</v>
      </c>
      <c r="G371" s="372">
        <v>0</v>
      </c>
      <c r="H371" s="308">
        <v>1.61</v>
      </c>
      <c r="I371" s="114">
        <f t="shared" si="86"/>
        <v>16.100000000000001</v>
      </c>
      <c r="J371" s="39"/>
      <c r="K371" s="187">
        <f t="shared" si="87"/>
        <v>5.5958172482551295E-4</v>
      </c>
      <c r="L371" s="188">
        <f t="shared" si="88"/>
        <v>0.64334902363415991</v>
      </c>
      <c r="M371" s="189">
        <f t="shared" si="89"/>
        <v>1.6051042143336407E-5</v>
      </c>
      <c r="N371" s="190">
        <f t="shared" si="90"/>
        <v>1.845382333464551E-2</v>
      </c>
      <c r="O371" s="39"/>
      <c r="P371" s="262">
        <v>0</v>
      </c>
      <c r="Q371" s="510"/>
      <c r="R371" s="262">
        <v>0</v>
      </c>
      <c r="S371" s="510"/>
      <c r="T371" s="262">
        <v>0</v>
      </c>
      <c r="U371" s="521"/>
      <c r="V371" s="262">
        <v>0</v>
      </c>
      <c r="W371" s="510"/>
      <c r="X371" s="262">
        <v>0</v>
      </c>
      <c r="Y371" s="510"/>
    </row>
    <row r="372" spans="2:25" ht="12" customHeight="1">
      <c r="B372" s="86" t="s">
        <v>917</v>
      </c>
      <c r="C372" s="96" t="s">
        <v>918</v>
      </c>
      <c r="D372" s="97">
        <v>15</v>
      </c>
      <c r="E372" s="350" t="s">
        <v>919</v>
      </c>
      <c r="F372" s="339">
        <f t="shared" si="82"/>
        <v>0</v>
      </c>
      <c r="G372" s="372">
        <v>0</v>
      </c>
      <c r="H372" s="308">
        <v>4.8099999999999996</v>
      </c>
      <c r="I372" s="114">
        <f t="shared" si="86"/>
        <v>72.149999999999991</v>
      </c>
      <c r="J372" s="39"/>
      <c r="K372" s="187">
        <f t="shared" si="87"/>
        <v>2.5076907730534627E-3</v>
      </c>
      <c r="L372" s="188">
        <f t="shared" si="88"/>
        <v>0.64585671440721337</v>
      </c>
      <c r="M372" s="189">
        <f t="shared" si="89"/>
        <v>7.1930601903212517E-5</v>
      </c>
      <c r="N372" s="190">
        <f t="shared" si="90"/>
        <v>1.8525753936548723E-2</v>
      </c>
      <c r="O372" s="39"/>
      <c r="P372" s="262">
        <v>0</v>
      </c>
      <c r="Q372" s="510"/>
      <c r="R372" s="262">
        <v>0</v>
      </c>
      <c r="S372" s="510"/>
      <c r="T372" s="262">
        <v>0</v>
      </c>
      <c r="U372" s="521"/>
      <c r="V372" s="262">
        <v>0</v>
      </c>
      <c r="W372" s="510"/>
      <c r="X372" s="262">
        <v>0</v>
      </c>
      <c r="Y372" s="510"/>
    </row>
    <row r="373" spans="2:25" ht="12" customHeight="1">
      <c r="B373" s="86" t="s">
        <v>920</v>
      </c>
      <c r="C373" s="96" t="s">
        <v>921</v>
      </c>
      <c r="D373" s="97">
        <v>50</v>
      </c>
      <c r="E373" s="350" t="s">
        <v>922</v>
      </c>
      <c r="F373" s="339">
        <f t="shared" si="82"/>
        <v>0</v>
      </c>
      <c r="G373" s="372">
        <v>0</v>
      </c>
      <c r="H373" s="308">
        <v>0.47</v>
      </c>
      <c r="I373" s="114">
        <f t="shared" si="86"/>
        <v>23.5</v>
      </c>
      <c r="J373" s="39"/>
      <c r="K373" s="187">
        <f t="shared" si="87"/>
        <v>8.1678077847202189E-4</v>
      </c>
      <c r="L373" s="188">
        <f t="shared" si="88"/>
        <v>0.6466734951856854</v>
      </c>
      <c r="M373" s="189">
        <f t="shared" si="89"/>
        <v>2.3428539774435127E-5</v>
      </c>
      <c r="N373" s="190">
        <f t="shared" si="90"/>
        <v>1.8549182476323159E-2</v>
      </c>
      <c r="O373" s="39"/>
      <c r="P373" s="262">
        <v>0</v>
      </c>
      <c r="Q373" s="510"/>
      <c r="R373" s="262">
        <v>0</v>
      </c>
      <c r="S373" s="510"/>
      <c r="T373" s="262">
        <v>0</v>
      </c>
      <c r="U373" s="521"/>
      <c r="V373" s="262">
        <v>0</v>
      </c>
      <c r="W373" s="510"/>
      <c r="X373" s="262">
        <v>0</v>
      </c>
      <c r="Y373" s="510"/>
    </row>
    <row r="374" spans="2:25" ht="12" customHeight="1">
      <c r="B374" s="86" t="s">
        <v>923</v>
      </c>
      <c r="C374" s="96" t="s">
        <v>924</v>
      </c>
      <c r="D374" s="97">
        <v>50</v>
      </c>
      <c r="E374" s="350" t="s">
        <v>925</v>
      </c>
      <c r="F374" s="339">
        <f t="shared" si="82"/>
        <v>0</v>
      </c>
      <c r="G374" s="372">
        <v>0</v>
      </c>
      <c r="H374" s="308">
        <v>0.47</v>
      </c>
      <c r="I374" s="114">
        <f t="shared" si="86"/>
        <v>23.5</v>
      </c>
      <c r="J374" s="39"/>
      <c r="K374" s="187">
        <f t="shared" si="87"/>
        <v>8.1678077847202189E-4</v>
      </c>
      <c r="L374" s="188">
        <f t="shared" si="88"/>
        <v>0.64749027596415742</v>
      </c>
      <c r="M374" s="189">
        <f t="shared" si="89"/>
        <v>2.3428539774435127E-5</v>
      </c>
      <c r="N374" s="190">
        <f t="shared" si="90"/>
        <v>1.8572611016097595E-2</v>
      </c>
      <c r="O374" s="39"/>
      <c r="P374" s="262">
        <v>0</v>
      </c>
      <c r="Q374" s="510"/>
      <c r="R374" s="262">
        <v>0</v>
      </c>
      <c r="S374" s="510"/>
      <c r="T374" s="262">
        <v>0</v>
      </c>
      <c r="U374" s="521"/>
      <c r="V374" s="262">
        <v>0</v>
      </c>
      <c r="W374" s="510"/>
      <c r="X374" s="262">
        <v>0</v>
      </c>
      <c r="Y374" s="510"/>
    </row>
    <row r="375" spans="2:25" ht="12" customHeight="1">
      <c r="B375" s="86" t="s">
        <v>926</v>
      </c>
      <c r="C375" s="96" t="s">
        <v>927</v>
      </c>
      <c r="D375" s="97">
        <v>150</v>
      </c>
      <c r="E375" s="350" t="s">
        <v>928</v>
      </c>
      <c r="F375" s="339">
        <f t="shared" si="82"/>
        <v>0</v>
      </c>
      <c r="G375" s="372">
        <v>0</v>
      </c>
      <c r="H375" s="308">
        <v>1.02</v>
      </c>
      <c r="I375" s="114">
        <f t="shared" si="86"/>
        <v>153</v>
      </c>
      <c r="J375" s="39"/>
      <c r="K375" s="187">
        <f t="shared" si="87"/>
        <v>5.3177642172859297E-3</v>
      </c>
      <c r="L375" s="188">
        <f t="shared" si="88"/>
        <v>0.65280804018144334</v>
      </c>
      <c r="M375" s="189">
        <f t="shared" si="89"/>
        <v>1.5253474831866275E-4</v>
      </c>
      <c r="N375" s="190">
        <f t="shared" si="90"/>
        <v>1.8725145764416258E-2</v>
      </c>
      <c r="O375" s="39"/>
      <c r="P375" s="262">
        <v>0</v>
      </c>
      <c r="Q375" s="510"/>
      <c r="R375" s="262">
        <v>0</v>
      </c>
      <c r="S375" s="510"/>
      <c r="T375" s="262">
        <v>0</v>
      </c>
      <c r="U375" s="521"/>
      <c r="V375" s="262">
        <v>0</v>
      </c>
      <c r="W375" s="510"/>
      <c r="X375" s="262">
        <v>0</v>
      </c>
      <c r="Y375" s="510"/>
    </row>
    <row r="376" spans="2:25" ht="12" customHeight="1">
      <c r="B376" s="86" t="s">
        <v>929</v>
      </c>
      <c r="C376" s="96" t="s">
        <v>930</v>
      </c>
      <c r="D376" s="97">
        <v>2</v>
      </c>
      <c r="E376" s="350" t="s">
        <v>931</v>
      </c>
      <c r="F376" s="339">
        <f t="shared" si="82"/>
        <v>0</v>
      </c>
      <c r="G376" s="372">
        <v>0</v>
      </c>
      <c r="H376" s="308">
        <v>17.829999999999998</v>
      </c>
      <c r="I376" s="114">
        <f t="shared" si="86"/>
        <v>35.659999999999997</v>
      </c>
      <c r="J376" s="39"/>
      <c r="K376" s="187">
        <f t="shared" si="87"/>
        <v>1.2394213855452042E-3</v>
      </c>
      <c r="L376" s="188">
        <f t="shared" si="88"/>
        <v>0.65404746156698856</v>
      </c>
      <c r="M376" s="189">
        <f t="shared" si="89"/>
        <v>3.555156290878113E-5</v>
      </c>
      <c r="N376" s="190">
        <f t="shared" si="90"/>
        <v>1.8760697327325038E-2</v>
      </c>
      <c r="O376" s="39"/>
      <c r="P376" s="262">
        <v>0</v>
      </c>
      <c r="Q376" s="510"/>
      <c r="R376" s="262">
        <v>0</v>
      </c>
      <c r="S376" s="510"/>
      <c r="T376" s="262">
        <v>0</v>
      </c>
      <c r="U376" s="521"/>
      <c r="V376" s="262">
        <v>0</v>
      </c>
      <c r="W376" s="510"/>
      <c r="X376" s="262">
        <v>0</v>
      </c>
      <c r="Y376" s="510"/>
    </row>
    <row r="377" spans="2:25" ht="12" customHeight="1">
      <c r="B377" s="86" t="s">
        <v>932</v>
      </c>
      <c r="C377" s="96" t="s">
        <v>933</v>
      </c>
      <c r="D377" s="97">
        <v>2</v>
      </c>
      <c r="E377" s="350" t="s">
        <v>934</v>
      </c>
      <c r="F377" s="339">
        <f t="shared" si="82"/>
        <v>0</v>
      </c>
      <c r="G377" s="372">
        <v>0</v>
      </c>
      <c r="H377" s="308">
        <v>17.829999999999998</v>
      </c>
      <c r="I377" s="114">
        <f t="shared" si="86"/>
        <v>35.659999999999997</v>
      </c>
      <c r="J377" s="39"/>
      <c r="K377" s="187">
        <f t="shared" si="87"/>
        <v>1.2394213855452042E-3</v>
      </c>
      <c r="L377" s="188">
        <f t="shared" si="88"/>
        <v>0.65528688295253379</v>
      </c>
      <c r="M377" s="189">
        <f t="shared" si="89"/>
        <v>3.555156290878113E-5</v>
      </c>
      <c r="N377" s="190">
        <f t="shared" si="90"/>
        <v>1.8796248890233819E-2</v>
      </c>
      <c r="O377" s="39"/>
      <c r="P377" s="262">
        <v>0</v>
      </c>
      <c r="Q377" s="510"/>
      <c r="R377" s="262">
        <v>0</v>
      </c>
      <c r="S377" s="510"/>
      <c r="T377" s="262">
        <v>0</v>
      </c>
      <c r="U377" s="521"/>
      <c r="V377" s="262">
        <v>0</v>
      </c>
      <c r="W377" s="510"/>
      <c r="X377" s="262">
        <v>0</v>
      </c>
      <c r="Y377" s="510"/>
    </row>
    <row r="378" spans="2:25" ht="12" customHeight="1">
      <c r="B378" s="86" t="s">
        <v>935</v>
      </c>
      <c r="C378" s="96" t="s">
        <v>936</v>
      </c>
      <c r="D378" s="97">
        <v>1</v>
      </c>
      <c r="E378" s="350" t="s">
        <v>937</v>
      </c>
      <c r="F378" s="339">
        <f t="shared" si="82"/>
        <v>0</v>
      </c>
      <c r="G378" s="372">
        <v>0</v>
      </c>
      <c r="H378" s="308">
        <v>1106.3</v>
      </c>
      <c r="I378" s="114">
        <f t="shared" si="86"/>
        <v>1106.3</v>
      </c>
      <c r="J378" s="39"/>
      <c r="K378" s="187">
        <f t="shared" si="87"/>
        <v>3.8451258520153096E-2</v>
      </c>
      <c r="L378" s="188">
        <f t="shared" si="88"/>
        <v>0.69373814147268686</v>
      </c>
      <c r="M378" s="189">
        <f t="shared" si="89"/>
        <v>1.1029358958492587E-3</v>
      </c>
      <c r="N378" s="190">
        <f t="shared" si="90"/>
        <v>1.9899184786083077E-2</v>
      </c>
      <c r="O378" s="39"/>
      <c r="P378" s="262">
        <v>0</v>
      </c>
      <c r="Q378" s="510"/>
      <c r="R378" s="262">
        <v>0</v>
      </c>
      <c r="S378" s="510"/>
      <c r="T378" s="262">
        <v>0</v>
      </c>
      <c r="U378" s="521"/>
      <c r="V378" s="262">
        <v>0</v>
      </c>
      <c r="W378" s="510"/>
      <c r="X378" s="262">
        <v>0</v>
      </c>
      <c r="Y378" s="510"/>
    </row>
    <row r="379" spans="2:25" ht="12" customHeight="1">
      <c r="B379" s="86" t="s">
        <v>938</v>
      </c>
      <c r="C379" s="96" t="s">
        <v>939</v>
      </c>
      <c r="D379" s="97">
        <v>1</v>
      </c>
      <c r="E379" s="350" t="s">
        <v>940</v>
      </c>
      <c r="F379" s="339">
        <f t="shared" si="82"/>
        <v>0</v>
      </c>
      <c r="G379" s="372">
        <v>0</v>
      </c>
      <c r="H379" s="308">
        <v>127.86</v>
      </c>
      <c r="I379" s="114">
        <f t="shared" si="86"/>
        <v>127.86</v>
      </c>
      <c r="J379" s="39"/>
      <c r="K379" s="187">
        <f t="shared" si="87"/>
        <v>4.4439825674652223E-3</v>
      </c>
      <c r="L379" s="188">
        <f t="shared" si="88"/>
        <v>0.69818212404015212</v>
      </c>
      <c r="M379" s="189">
        <f t="shared" si="89"/>
        <v>1.2747119555571383E-4</v>
      </c>
      <c r="N379" s="190">
        <f t="shared" si="90"/>
        <v>2.0026655981638792E-2</v>
      </c>
      <c r="O379" s="39"/>
      <c r="P379" s="262">
        <v>0</v>
      </c>
      <c r="Q379" s="510"/>
      <c r="R379" s="262">
        <v>0</v>
      </c>
      <c r="S379" s="510"/>
      <c r="T379" s="262">
        <v>0</v>
      </c>
      <c r="U379" s="521"/>
      <c r="V379" s="262">
        <v>0</v>
      </c>
      <c r="W379" s="510"/>
      <c r="X379" s="262">
        <v>0</v>
      </c>
      <c r="Y379" s="510"/>
    </row>
    <row r="380" spans="2:25" ht="12" customHeight="1">
      <c r="B380" s="86" t="s">
        <v>941</v>
      </c>
      <c r="C380" s="96" t="s">
        <v>942</v>
      </c>
      <c r="D380" s="97">
        <v>2</v>
      </c>
      <c r="E380" s="350" t="s">
        <v>943</v>
      </c>
      <c r="F380" s="339">
        <f t="shared" si="82"/>
        <v>0</v>
      </c>
      <c r="G380" s="372">
        <v>0</v>
      </c>
      <c r="H380" s="308">
        <v>6.25</v>
      </c>
      <c r="I380" s="114">
        <f t="shared" si="86"/>
        <v>12.5</v>
      </c>
      <c r="J380" s="39"/>
      <c r="K380" s="187">
        <f t="shared" si="87"/>
        <v>4.3445786088937332E-4</v>
      </c>
      <c r="L380" s="188">
        <f t="shared" si="88"/>
        <v>0.69861658190104148</v>
      </c>
      <c r="M380" s="189">
        <f t="shared" si="89"/>
        <v>1.2461989241720811E-5</v>
      </c>
      <c r="N380" s="190">
        <f t="shared" si="90"/>
        <v>2.0039117970880514E-2</v>
      </c>
      <c r="O380" s="39"/>
      <c r="P380" s="262">
        <v>0</v>
      </c>
      <c r="Q380" s="510"/>
      <c r="R380" s="262">
        <v>0</v>
      </c>
      <c r="S380" s="510"/>
      <c r="T380" s="262">
        <v>0</v>
      </c>
      <c r="U380" s="521"/>
      <c r="V380" s="262">
        <v>0</v>
      </c>
      <c r="W380" s="510"/>
      <c r="X380" s="262">
        <v>0</v>
      </c>
      <c r="Y380" s="510"/>
    </row>
    <row r="381" spans="2:25" ht="12" customHeight="1">
      <c r="B381" s="86" t="s">
        <v>944</v>
      </c>
      <c r="C381" s="96" t="s">
        <v>945</v>
      </c>
      <c r="D381" s="97">
        <v>1</v>
      </c>
      <c r="E381" s="350" t="s">
        <v>946</v>
      </c>
      <c r="F381" s="339">
        <f t="shared" si="82"/>
        <v>0</v>
      </c>
      <c r="G381" s="372">
        <v>0</v>
      </c>
      <c r="H381" s="308">
        <v>7.63</v>
      </c>
      <c r="I381" s="114">
        <f t="shared" si="86"/>
        <v>7.63</v>
      </c>
      <c r="J381" s="39"/>
      <c r="K381" s="187">
        <f t="shared" si="87"/>
        <v>2.6519307828687351E-4</v>
      </c>
      <c r="L381" s="188">
        <f t="shared" si="88"/>
        <v>0.69888177497932835</v>
      </c>
      <c r="M381" s="189">
        <f t="shared" si="89"/>
        <v>7.606798233146383E-6</v>
      </c>
      <c r="N381" s="190">
        <f t="shared" si="90"/>
        <v>2.004672476911366E-2</v>
      </c>
      <c r="O381" s="39"/>
      <c r="P381" s="262">
        <v>0</v>
      </c>
      <c r="Q381" s="510"/>
      <c r="R381" s="262">
        <v>0</v>
      </c>
      <c r="S381" s="510"/>
      <c r="T381" s="262">
        <v>0</v>
      </c>
      <c r="U381" s="521"/>
      <c r="V381" s="262">
        <v>0</v>
      </c>
      <c r="W381" s="510"/>
      <c r="X381" s="262">
        <v>0</v>
      </c>
      <c r="Y381" s="510"/>
    </row>
    <row r="382" spans="2:25" ht="12" customHeight="1">
      <c r="B382" s="86" t="s">
        <v>947</v>
      </c>
      <c r="C382" s="96" t="s">
        <v>948</v>
      </c>
      <c r="D382" s="97">
        <v>1</v>
      </c>
      <c r="E382" s="350" t="s">
        <v>949</v>
      </c>
      <c r="F382" s="339">
        <f t="shared" si="82"/>
        <v>0</v>
      </c>
      <c r="G382" s="372">
        <v>0</v>
      </c>
      <c r="H382" s="308">
        <v>5416.67</v>
      </c>
      <c r="I382" s="114">
        <f t="shared" si="86"/>
        <v>5416.67</v>
      </c>
      <c r="J382" s="39"/>
      <c r="K382" s="187">
        <f t="shared" si="87"/>
        <v>0.18826518890749136</v>
      </c>
      <c r="L382" s="188">
        <f t="shared" si="88"/>
        <v>0.88714696388681968</v>
      </c>
      <c r="M382" s="189">
        <f t="shared" si="89"/>
        <v>5.4001986612761494E-3</v>
      </c>
      <c r="N382" s="190">
        <f t="shared" si="90"/>
        <v>2.544692343038981E-2</v>
      </c>
      <c r="O382" s="39"/>
      <c r="P382" s="262">
        <v>0</v>
      </c>
      <c r="Q382" s="510"/>
      <c r="R382" s="262">
        <v>0</v>
      </c>
      <c r="S382" s="510"/>
      <c r="T382" s="262">
        <v>0</v>
      </c>
      <c r="U382" s="521"/>
      <c r="V382" s="262">
        <v>0</v>
      </c>
      <c r="W382" s="510"/>
      <c r="X382" s="262">
        <v>0</v>
      </c>
      <c r="Y382" s="510"/>
    </row>
    <row r="383" spans="2:25" ht="12" customHeight="1">
      <c r="B383" s="86" t="s">
        <v>950</v>
      </c>
      <c r="C383" s="96" t="s">
        <v>951</v>
      </c>
      <c r="D383" s="97">
        <v>38</v>
      </c>
      <c r="E383" s="350" t="s">
        <v>952</v>
      </c>
      <c r="F383" s="339">
        <f t="shared" si="82"/>
        <v>0</v>
      </c>
      <c r="G383" s="372">
        <v>0</v>
      </c>
      <c r="H383" s="308">
        <v>50.23</v>
      </c>
      <c r="I383" s="114">
        <f t="shared" si="86"/>
        <v>1908.7399999999998</v>
      </c>
      <c r="J383" s="39"/>
      <c r="K383" s="187">
        <f t="shared" si="87"/>
        <v>6.6341367791518585E-2</v>
      </c>
      <c r="L383" s="188">
        <f t="shared" si="88"/>
        <v>0.95348833167833824</v>
      </c>
      <c r="M383" s="189">
        <f t="shared" si="89"/>
        <v>1.9029357876193744E-3</v>
      </c>
      <c r="N383" s="190">
        <f t="shared" si="90"/>
        <v>2.7349859218009184E-2</v>
      </c>
      <c r="O383" s="39"/>
      <c r="P383" s="262">
        <v>0</v>
      </c>
      <c r="Q383" s="510"/>
      <c r="R383" s="262">
        <v>0</v>
      </c>
      <c r="S383" s="510"/>
      <c r="T383" s="262">
        <v>0</v>
      </c>
      <c r="U383" s="521"/>
      <c r="V383" s="262">
        <v>0</v>
      </c>
      <c r="W383" s="510"/>
      <c r="X383" s="262">
        <v>0</v>
      </c>
      <c r="Y383" s="510"/>
    </row>
    <row r="384" spans="2:25" ht="12" customHeight="1">
      <c r="B384" s="86" t="s">
        <v>953</v>
      </c>
      <c r="C384" s="96" t="s">
        <v>954</v>
      </c>
      <c r="D384" s="97">
        <v>1</v>
      </c>
      <c r="E384" s="350" t="s">
        <v>955</v>
      </c>
      <c r="F384" s="339">
        <f t="shared" si="82"/>
        <v>0</v>
      </c>
      <c r="G384" s="372">
        <v>0</v>
      </c>
      <c r="H384" s="308">
        <v>51.56</v>
      </c>
      <c r="I384" s="114">
        <f t="shared" si="86"/>
        <v>51.56</v>
      </c>
      <c r="J384" s="39"/>
      <c r="K384" s="187">
        <f t="shared" si="87"/>
        <v>1.7920517845964872E-3</v>
      </c>
      <c r="L384" s="188">
        <f t="shared" si="88"/>
        <v>0.95528038346293476</v>
      </c>
      <c r="M384" s="189">
        <f t="shared" si="89"/>
        <v>5.1403213224250006E-5</v>
      </c>
      <c r="N384" s="190">
        <f t="shared" si="90"/>
        <v>2.7401262431233434E-2</v>
      </c>
      <c r="O384" s="39"/>
      <c r="P384" s="262">
        <v>0</v>
      </c>
      <c r="Q384" s="510"/>
      <c r="R384" s="262">
        <v>0</v>
      </c>
      <c r="S384" s="510"/>
      <c r="T384" s="262">
        <v>0</v>
      </c>
      <c r="U384" s="521"/>
      <c r="V384" s="262">
        <v>0</v>
      </c>
      <c r="W384" s="510"/>
      <c r="X384" s="262">
        <v>0</v>
      </c>
      <c r="Y384" s="510"/>
    </row>
    <row r="385" spans="1:25" ht="12" customHeight="1">
      <c r="B385" s="86" t="s">
        <v>956</v>
      </c>
      <c r="C385" s="96" t="s">
        <v>957</v>
      </c>
      <c r="D385" s="97">
        <v>1</v>
      </c>
      <c r="E385" s="350" t="s">
        <v>958</v>
      </c>
      <c r="F385" s="339">
        <f t="shared" si="82"/>
        <v>0</v>
      </c>
      <c r="G385" s="372">
        <v>0</v>
      </c>
      <c r="H385" s="308">
        <v>51.56</v>
      </c>
      <c r="I385" s="114">
        <f t="shared" si="86"/>
        <v>51.56</v>
      </c>
      <c r="J385" s="39"/>
      <c r="K385" s="187">
        <f t="shared" si="87"/>
        <v>1.7920517845964872E-3</v>
      </c>
      <c r="L385" s="188">
        <f t="shared" si="88"/>
        <v>0.95707243524753127</v>
      </c>
      <c r="M385" s="189">
        <f t="shared" si="89"/>
        <v>5.1403213224250006E-5</v>
      </c>
      <c r="N385" s="190">
        <f t="shared" si="90"/>
        <v>2.7452665644457683E-2</v>
      </c>
      <c r="O385" s="39"/>
      <c r="P385" s="262">
        <v>0</v>
      </c>
      <c r="Q385" s="510"/>
      <c r="R385" s="262">
        <v>0</v>
      </c>
      <c r="S385" s="510"/>
      <c r="T385" s="262">
        <v>0</v>
      </c>
      <c r="U385" s="521"/>
      <c r="V385" s="262">
        <v>0</v>
      </c>
      <c r="W385" s="510"/>
      <c r="X385" s="262">
        <v>0</v>
      </c>
      <c r="Y385" s="510"/>
    </row>
    <row r="386" spans="1:25" ht="12" customHeight="1">
      <c r="B386" s="86" t="s">
        <v>959</v>
      </c>
      <c r="C386" s="96" t="s">
        <v>960</v>
      </c>
      <c r="D386" s="97">
        <v>3</v>
      </c>
      <c r="E386" s="350" t="s">
        <v>961</v>
      </c>
      <c r="F386" s="339">
        <f t="shared" si="82"/>
        <v>0</v>
      </c>
      <c r="G386" s="372">
        <v>0</v>
      </c>
      <c r="H386" s="308">
        <v>51.56</v>
      </c>
      <c r="I386" s="114">
        <f t="shared" si="86"/>
        <v>154.68</v>
      </c>
      <c r="J386" s="39"/>
      <c r="K386" s="187">
        <f t="shared" si="87"/>
        <v>5.3761553537894618E-3</v>
      </c>
      <c r="L386" s="188">
        <f t="shared" si="88"/>
        <v>0.96244859060132071</v>
      </c>
      <c r="M386" s="189">
        <f t="shared" si="89"/>
        <v>1.5420963967275003E-4</v>
      </c>
      <c r="N386" s="190">
        <f t="shared" si="90"/>
        <v>2.7606875284130434E-2</v>
      </c>
      <c r="O386" s="39"/>
      <c r="P386" s="262">
        <v>0</v>
      </c>
      <c r="Q386" s="510"/>
      <c r="R386" s="262">
        <v>0</v>
      </c>
      <c r="S386" s="510"/>
      <c r="T386" s="262">
        <v>0</v>
      </c>
      <c r="U386" s="521"/>
      <c r="V386" s="262">
        <v>0</v>
      </c>
      <c r="W386" s="510"/>
      <c r="X386" s="262">
        <v>0</v>
      </c>
      <c r="Y386" s="510"/>
    </row>
    <row r="387" spans="1:25" ht="12" customHeight="1">
      <c r="B387" s="86" t="s">
        <v>962</v>
      </c>
      <c r="C387" s="96" t="s">
        <v>963</v>
      </c>
      <c r="D387" s="97">
        <v>3</v>
      </c>
      <c r="E387" s="350" t="s">
        <v>964</v>
      </c>
      <c r="F387" s="339">
        <f t="shared" si="82"/>
        <v>0</v>
      </c>
      <c r="G387" s="372">
        <v>0</v>
      </c>
      <c r="H387" s="308">
        <v>51.56</v>
      </c>
      <c r="I387" s="114">
        <f t="shared" si="86"/>
        <v>154.68</v>
      </c>
      <c r="J387" s="39"/>
      <c r="K387" s="187">
        <f t="shared" si="87"/>
        <v>5.3761553537894618E-3</v>
      </c>
      <c r="L387" s="188">
        <f t="shared" si="88"/>
        <v>0.96782474595511014</v>
      </c>
      <c r="M387" s="189">
        <f t="shared" si="89"/>
        <v>1.5420963967275003E-4</v>
      </c>
      <c r="N387" s="190">
        <f t="shared" si="90"/>
        <v>2.7761084923803185E-2</v>
      </c>
      <c r="O387" s="39"/>
      <c r="P387" s="262">
        <v>0</v>
      </c>
      <c r="Q387" s="510"/>
      <c r="R387" s="262">
        <v>0</v>
      </c>
      <c r="S387" s="510"/>
      <c r="T387" s="262">
        <v>0</v>
      </c>
      <c r="U387" s="521"/>
      <c r="V387" s="262">
        <v>0</v>
      </c>
      <c r="W387" s="510"/>
      <c r="X387" s="262">
        <v>0</v>
      </c>
      <c r="Y387" s="510"/>
    </row>
    <row r="388" spans="1:25" ht="12" customHeight="1">
      <c r="B388" s="86" t="s">
        <v>965</v>
      </c>
      <c r="C388" s="96" t="s">
        <v>966</v>
      </c>
      <c r="D388" s="97">
        <v>1</v>
      </c>
      <c r="E388" s="350" t="s">
        <v>967</v>
      </c>
      <c r="F388" s="339">
        <f t="shared" si="82"/>
        <v>26.295541874022486</v>
      </c>
      <c r="G388" s="372">
        <f>I528*M388</f>
        <v>26.295541874022486</v>
      </c>
      <c r="H388" s="308">
        <v>107.85</v>
      </c>
      <c r="I388" s="114">
        <f t="shared" si="86"/>
        <v>107.85</v>
      </c>
      <c r="J388" s="39"/>
      <c r="K388" s="187">
        <f t="shared" si="87"/>
        <v>3.7485024237535131E-3</v>
      </c>
      <c r="L388" s="188">
        <f t="shared" si="88"/>
        <v>0.97157324837886361</v>
      </c>
      <c r="M388" s="189">
        <f t="shared" si="89"/>
        <v>1.0752204317756716E-4</v>
      </c>
      <c r="N388" s="190">
        <f t="shared" si="90"/>
        <v>2.7868606966980753E-2</v>
      </c>
      <c r="O388" s="39"/>
      <c r="P388" s="262">
        <v>0</v>
      </c>
      <c r="Q388" s="510"/>
      <c r="R388" s="262">
        <v>0</v>
      </c>
      <c r="S388" s="510"/>
      <c r="T388" s="262">
        <v>0</v>
      </c>
      <c r="U388" s="521"/>
      <c r="V388" s="262">
        <v>0</v>
      </c>
      <c r="W388" s="510"/>
      <c r="X388" s="262">
        <v>0</v>
      </c>
      <c r="Y388" s="510"/>
    </row>
    <row r="389" spans="1:25" ht="12" customHeight="1">
      <c r="B389" s="86" t="s">
        <v>968</v>
      </c>
      <c r="C389" s="96" t="s">
        <v>969</v>
      </c>
      <c r="D389" s="97">
        <v>42</v>
      </c>
      <c r="E389" s="350" t="s">
        <v>970</v>
      </c>
      <c r="F389" s="339">
        <f t="shared" si="82"/>
        <v>3.6011604402346982</v>
      </c>
      <c r="G389" s="372">
        <f>I528*M389</f>
        <v>151.24873848985732</v>
      </c>
      <c r="H389" s="308">
        <v>14.77</v>
      </c>
      <c r="I389" s="114">
        <f t="shared" si="86"/>
        <v>620.34</v>
      </c>
      <c r="J389" s="39"/>
      <c r="K389" s="187">
        <f t="shared" si="87"/>
        <v>2.156092715392911E-2</v>
      </c>
      <c r="L389" s="188">
        <f t="shared" si="88"/>
        <v>0.99313417553279271</v>
      </c>
      <c r="M389" s="189">
        <f t="shared" si="89"/>
        <v>6.1845363249672712E-4</v>
      </c>
      <c r="N389" s="190">
        <f t="shared" si="90"/>
        <v>2.848706059947748E-2</v>
      </c>
      <c r="O389" s="39"/>
      <c r="P389" s="262">
        <v>0</v>
      </c>
      <c r="Q389" s="510"/>
      <c r="R389" s="262">
        <v>0</v>
      </c>
      <c r="S389" s="510"/>
      <c r="T389" s="262">
        <v>0</v>
      </c>
      <c r="U389" s="521"/>
      <c r="V389" s="262">
        <v>0</v>
      </c>
      <c r="W389" s="510"/>
      <c r="X389" s="262">
        <v>0</v>
      </c>
      <c r="Y389" s="510"/>
    </row>
    <row r="390" spans="1:25" ht="12" customHeight="1">
      <c r="B390" s="86" t="s">
        <v>971</v>
      </c>
      <c r="C390" s="96" t="s">
        <v>972</v>
      </c>
      <c r="D390" s="97">
        <v>17</v>
      </c>
      <c r="E390" s="350" t="s">
        <v>973</v>
      </c>
      <c r="F390" s="345">
        <f t="shared" si="82"/>
        <v>2.8331404411325103</v>
      </c>
      <c r="G390" s="372">
        <f>I528*M390</f>
        <v>48.163387499252678</v>
      </c>
      <c r="H390" s="308">
        <v>11.62</v>
      </c>
      <c r="I390" s="114">
        <f t="shared" si="86"/>
        <v>197.54</v>
      </c>
      <c r="J390" s="39"/>
      <c r="K390" s="187">
        <f t="shared" si="87"/>
        <v>6.8658244672069445E-3</v>
      </c>
      <c r="L390" s="188">
        <f t="shared" si="88"/>
        <v>0.99999999999999967</v>
      </c>
      <c r="M390" s="189">
        <f t="shared" si="89"/>
        <v>1.9693930838476231E-4</v>
      </c>
      <c r="N390" s="191">
        <f t="shared" si="90"/>
        <v>2.8683999907862242E-2</v>
      </c>
      <c r="O390" s="39"/>
      <c r="P390" s="262">
        <v>0</v>
      </c>
      <c r="Q390" s="511"/>
      <c r="R390" s="262">
        <v>0</v>
      </c>
      <c r="S390" s="511"/>
      <c r="T390" s="262">
        <v>0</v>
      </c>
      <c r="U390" s="522"/>
      <c r="V390" s="262">
        <v>0</v>
      </c>
      <c r="W390" s="511"/>
      <c r="X390" s="262">
        <v>0</v>
      </c>
      <c r="Y390" s="511"/>
    </row>
    <row r="391" spans="1:25" ht="12" customHeight="1">
      <c r="A391" s="291" t="s">
        <v>70</v>
      </c>
      <c r="B391" s="181"/>
      <c r="C391" s="159" t="s">
        <v>583</v>
      </c>
      <c r="D391" s="160"/>
      <c r="E391" s="359"/>
      <c r="F391" s="394">
        <f>+G391/D$3</f>
        <v>3.8836152810359277</v>
      </c>
      <c r="G391" s="377">
        <f>SUM(G392:G402)</f>
        <v>3576.0717869306923</v>
      </c>
      <c r="H391" s="313"/>
      <c r="I391" s="161">
        <f>SUM(I392:I402)</f>
        <v>14667.100000000002</v>
      </c>
      <c r="J391" s="39"/>
      <c r="K391" s="552" t="str">
        <f>+C391</f>
        <v>Ramais  Alimentadores</v>
      </c>
      <c r="L391" s="553"/>
      <c r="M391" s="170">
        <f t="shared" si="89"/>
        <v>1.4622499392579468E-2</v>
      </c>
      <c r="N391" s="171"/>
      <c r="O391" s="38"/>
      <c r="P391" s="261">
        <f>SUMPRODUCT( P392:P402,$M$392:$M$402)</f>
        <v>0</v>
      </c>
      <c r="Q391" s="510">
        <f>+P391/$M$391</f>
        <v>0</v>
      </c>
      <c r="R391" s="261">
        <f>SUMPRODUCT( R392:R402,$M$392:$M$402)</f>
        <v>0</v>
      </c>
      <c r="S391" s="510">
        <f>+R391/$M$391</f>
        <v>0</v>
      </c>
      <c r="T391" s="261">
        <f>SUMPRODUCT( T392:T402,$M$392:$M$402)</f>
        <v>4.5084187111386082E-3</v>
      </c>
      <c r="U391" s="521">
        <f>+T391/$M$391</f>
        <v>0.30832066325313112</v>
      </c>
      <c r="V391" s="261">
        <f>SUMPRODUCT( V392:V402,$M$392:$M$402)</f>
        <v>4.5084187111386082E-3</v>
      </c>
      <c r="W391" s="510">
        <f>+V391/$M$391</f>
        <v>0.30832066325313112</v>
      </c>
      <c r="X391" s="261">
        <f>SUMPRODUCT( X392:X402,$M$392:$M$402)</f>
        <v>4.5084187111386082E-3</v>
      </c>
      <c r="Y391" s="510">
        <f>+X391/$M$391</f>
        <v>0.30832066325313112</v>
      </c>
    </row>
    <row r="392" spans="1:25" ht="12" customHeight="1">
      <c r="B392" s="86" t="s">
        <v>974</v>
      </c>
      <c r="C392" s="96" t="s">
        <v>975</v>
      </c>
      <c r="D392" s="97">
        <v>49</v>
      </c>
      <c r="E392" s="350" t="s">
        <v>976</v>
      </c>
      <c r="F392" s="346">
        <f t="shared" ref="F392:F454" si="91">+G392/D392</f>
        <v>5.1713346606213904</v>
      </c>
      <c r="G392" s="372">
        <f>I528*M392</f>
        <v>253.39539837044813</v>
      </c>
      <c r="H392" s="308">
        <v>21.21</v>
      </c>
      <c r="I392" s="114">
        <f t="shared" ref="I392:I402" si="92">$D392*$H392</f>
        <v>1039.29</v>
      </c>
      <c r="J392" s="39"/>
      <c r="K392" s="187">
        <f>+I392/$I$391</f>
        <v>7.0858588268982947E-2</v>
      </c>
      <c r="L392" s="188">
        <f>+K392</f>
        <v>7.0858588268982947E-2</v>
      </c>
      <c r="M392" s="189">
        <f t="shared" si="89"/>
        <v>1.0361296639222418E-3</v>
      </c>
      <c r="N392" s="190">
        <f>+M392</f>
        <v>1.0361296639222418E-3</v>
      </c>
      <c r="O392" s="39"/>
      <c r="P392" s="262">
        <v>0</v>
      </c>
      <c r="Q392" s="510"/>
      <c r="R392" s="262">
        <v>0</v>
      </c>
      <c r="S392" s="510"/>
      <c r="T392" s="262">
        <v>1</v>
      </c>
      <c r="U392" s="521"/>
      <c r="V392" s="262">
        <v>1</v>
      </c>
      <c r="W392" s="510"/>
      <c r="X392" s="262">
        <v>1</v>
      </c>
      <c r="Y392" s="510"/>
    </row>
    <row r="393" spans="1:25" ht="12" customHeight="1">
      <c r="B393" s="86" t="s">
        <v>977</v>
      </c>
      <c r="C393" s="96" t="s">
        <v>978</v>
      </c>
      <c r="D393" s="97">
        <v>136</v>
      </c>
      <c r="E393" s="350" t="s">
        <v>979</v>
      </c>
      <c r="F393" s="339">
        <f t="shared" si="91"/>
        <v>5.595574279173074</v>
      </c>
      <c r="G393" s="372">
        <f>I528*M393</f>
        <v>760.9981019675381</v>
      </c>
      <c r="H393" s="308">
        <v>22.95</v>
      </c>
      <c r="I393" s="114">
        <f t="shared" si="92"/>
        <v>3121.2</v>
      </c>
      <c r="J393" s="39"/>
      <c r="K393" s="187">
        <f>+I393/$I$391</f>
        <v>0.21280280355353132</v>
      </c>
      <c r="L393" s="188">
        <f>+L392+K393</f>
        <v>0.28366139182251426</v>
      </c>
      <c r="M393" s="189">
        <f t="shared" si="89"/>
        <v>3.1117088657007198E-3</v>
      </c>
      <c r="N393" s="190">
        <f>+N392+M393</f>
        <v>4.1478385296229619E-3</v>
      </c>
      <c r="O393" s="39"/>
      <c r="P393" s="262">
        <v>0</v>
      </c>
      <c r="Q393" s="510"/>
      <c r="R393" s="262">
        <v>0</v>
      </c>
      <c r="S393" s="510"/>
      <c r="T393" s="262">
        <v>1</v>
      </c>
      <c r="U393" s="521"/>
      <c r="V393" s="262">
        <v>1</v>
      </c>
      <c r="W393" s="510"/>
      <c r="X393" s="262">
        <v>1</v>
      </c>
      <c r="Y393" s="510"/>
    </row>
    <row r="394" spans="1:25" ht="12" customHeight="1">
      <c r="B394" s="86" t="s">
        <v>980</v>
      </c>
      <c r="C394" s="96" t="s">
        <v>981</v>
      </c>
      <c r="D394" s="97">
        <v>204</v>
      </c>
      <c r="E394" s="350" t="s">
        <v>982</v>
      </c>
      <c r="F394" s="339">
        <f t="shared" si="91"/>
        <v>6.8682931348281269</v>
      </c>
      <c r="G394" s="372">
        <f>I528*M394</f>
        <v>1401.1317995049378</v>
      </c>
      <c r="H394" s="308">
        <v>28.17</v>
      </c>
      <c r="I394" s="114">
        <f t="shared" si="92"/>
        <v>5746.68</v>
      </c>
      <c r="J394" s="39"/>
      <c r="K394" s="187">
        <f t="shared" ref="K394:K402" si="93">+I394/$I$391</f>
        <v>0.39180751477797243</v>
      </c>
      <c r="L394" s="188">
        <f t="shared" ref="L394:L402" si="94">+L393+K394</f>
        <v>0.67546890660048664</v>
      </c>
      <c r="M394" s="189">
        <f t="shared" ref="M394:M405" si="95">+I394/$I$514</f>
        <v>5.7292051468489725E-3</v>
      </c>
      <c r="N394" s="190">
        <f t="shared" ref="N394:N402" si="96">+N393+M394</f>
        <v>9.8770436764719343E-3</v>
      </c>
      <c r="O394" s="39"/>
      <c r="P394" s="262">
        <v>0</v>
      </c>
      <c r="Q394" s="510"/>
      <c r="R394" s="262">
        <v>0</v>
      </c>
      <c r="S394" s="510"/>
      <c r="T394" s="262">
        <v>0</v>
      </c>
      <c r="U394" s="521"/>
      <c r="V394" s="262">
        <v>0</v>
      </c>
      <c r="W394" s="510"/>
      <c r="X394" s="262">
        <v>0</v>
      </c>
      <c r="Y394" s="510"/>
    </row>
    <row r="395" spans="1:25" ht="12" customHeight="1">
      <c r="B395" s="86" t="s">
        <v>983</v>
      </c>
      <c r="C395" s="96" t="s">
        <v>984</v>
      </c>
      <c r="D395" s="97">
        <v>15</v>
      </c>
      <c r="E395" s="350" t="s">
        <v>985</v>
      </c>
      <c r="F395" s="339">
        <f t="shared" si="91"/>
        <v>5.0104161846190278</v>
      </c>
      <c r="G395" s="372">
        <f>I528*M395</f>
        <v>75.156242769285413</v>
      </c>
      <c r="H395" s="308">
        <v>20.55</v>
      </c>
      <c r="I395" s="114">
        <f t="shared" si="92"/>
        <v>308.25</v>
      </c>
      <c r="J395" s="39"/>
      <c r="K395" s="187">
        <f t="shared" si="93"/>
        <v>2.1016424514730243E-2</v>
      </c>
      <c r="L395" s="188">
        <f t="shared" si="94"/>
        <v>0.69648533111521693</v>
      </c>
      <c r="M395" s="189">
        <f t="shared" si="95"/>
        <v>3.0731265470083523E-4</v>
      </c>
      <c r="N395" s="190">
        <f t="shared" si="96"/>
        <v>1.018435633117277E-2</v>
      </c>
      <c r="O395" s="39"/>
      <c r="P395" s="262">
        <v>0</v>
      </c>
      <c r="Q395" s="510"/>
      <c r="R395" s="262">
        <v>0</v>
      </c>
      <c r="S395" s="510"/>
      <c r="T395" s="262">
        <v>0</v>
      </c>
      <c r="U395" s="521"/>
      <c r="V395" s="262">
        <v>0</v>
      </c>
      <c r="W395" s="510"/>
      <c r="X395" s="262">
        <v>0</v>
      </c>
      <c r="Y395" s="510"/>
    </row>
    <row r="396" spans="1:25" ht="12" customHeight="1">
      <c r="B396" s="86" t="s">
        <v>986</v>
      </c>
      <c r="C396" s="96" t="s">
        <v>987</v>
      </c>
      <c r="D396" s="97">
        <v>136</v>
      </c>
      <c r="E396" s="350" t="s">
        <v>988</v>
      </c>
      <c r="F396" s="339">
        <f t="shared" si="91"/>
        <v>5.5224295173538183</v>
      </c>
      <c r="G396" s="372">
        <f>I528*M396</f>
        <v>751.05041436011925</v>
      </c>
      <c r="H396" s="308">
        <v>22.65</v>
      </c>
      <c r="I396" s="114">
        <f t="shared" si="92"/>
        <v>3080.3999999999996</v>
      </c>
      <c r="J396" s="39"/>
      <c r="K396" s="187">
        <f t="shared" si="93"/>
        <v>0.2100210675593675</v>
      </c>
      <c r="L396" s="188">
        <f t="shared" si="94"/>
        <v>0.90650639867458449</v>
      </c>
      <c r="M396" s="189">
        <f t="shared" si="95"/>
        <v>3.0710329328157426E-3</v>
      </c>
      <c r="N396" s="190">
        <f t="shared" si="96"/>
        <v>1.3255389263988513E-2</v>
      </c>
      <c r="O396" s="39"/>
      <c r="P396" s="262">
        <v>0</v>
      </c>
      <c r="Q396" s="510"/>
      <c r="R396" s="262">
        <v>0</v>
      </c>
      <c r="S396" s="510"/>
      <c r="T396" s="262">
        <v>0</v>
      </c>
      <c r="U396" s="521"/>
      <c r="V396" s="262">
        <v>0</v>
      </c>
      <c r="W396" s="510"/>
      <c r="X396" s="262">
        <v>0</v>
      </c>
      <c r="Y396" s="510"/>
    </row>
    <row r="397" spans="1:25" ht="12" customHeight="1">
      <c r="B397" s="86" t="s">
        <v>989</v>
      </c>
      <c r="C397" s="96" t="s">
        <v>990</v>
      </c>
      <c r="D397" s="97">
        <v>5</v>
      </c>
      <c r="E397" s="350" t="s">
        <v>991</v>
      </c>
      <c r="F397" s="339">
        <f t="shared" si="91"/>
        <v>3.4670617102327292</v>
      </c>
      <c r="G397" s="372">
        <f>I528*M397</f>
        <v>17.335308551163646</v>
      </c>
      <c r="H397" s="308">
        <v>14.22</v>
      </c>
      <c r="I397" s="114">
        <f t="shared" si="92"/>
        <v>71.100000000000009</v>
      </c>
      <c r="J397" s="39"/>
      <c r="K397" s="187">
        <f t="shared" si="93"/>
        <v>4.8475840486531079E-3</v>
      </c>
      <c r="L397" s="188">
        <f t="shared" si="94"/>
        <v>0.91135398272323764</v>
      </c>
      <c r="M397" s="189">
        <f t="shared" si="95"/>
        <v>7.0883794806907984E-5</v>
      </c>
      <c r="N397" s="190">
        <f t="shared" si="96"/>
        <v>1.3326273058795421E-2</v>
      </c>
      <c r="O397" s="39"/>
      <c r="P397" s="262">
        <v>0</v>
      </c>
      <c r="Q397" s="510"/>
      <c r="R397" s="262">
        <v>0</v>
      </c>
      <c r="S397" s="510"/>
      <c r="T397" s="262">
        <v>0</v>
      </c>
      <c r="U397" s="521"/>
      <c r="V397" s="262">
        <v>0</v>
      </c>
      <c r="W397" s="510"/>
      <c r="X397" s="262">
        <v>0</v>
      </c>
      <c r="Y397" s="510"/>
    </row>
    <row r="398" spans="1:25" ht="12" customHeight="1">
      <c r="B398" s="86" t="s">
        <v>992</v>
      </c>
      <c r="C398" s="96" t="s">
        <v>993</v>
      </c>
      <c r="D398" s="97">
        <v>15</v>
      </c>
      <c r="E398" s="350" t="s">
        <v>994</v>
      </c>
      <c r="F398" s="339">
        <f t="shared" si="91"/>
        <v>2.5113034891277852</v>
      </c>
      <c r="G398" s="372">
        <f>I528*M398</f>
        <v>37.66955233691678</v>
      </c>
      <c r="H398" s="308">
        <v>10.3</v>
      </c>
      <c r="I398" s="114">
        <f t="shared" si="92"/>
        <v>154.5</v>
      </c>
      <c r="J398" s="39"/>
      <c r="K398" s="187">
        <f t="shared" si="93"/>
        <v>1.0533779683782069E-2</v>
      </c>
      <c r="L398" s="188">
        <f t="shared" si="94"/>
        <v>0.92188776240701975</v>
      </c>
      <c r="M398" s="189">
        <f t="shared" si="95"/>
        <v>1.5403018702766924E-4</v>
      </c>
      <c r="N398" s="190">
        <f t="shared" si="96"/>
        <v>1.348030324582309E-2</v>
      </c>
      <c r="O398" s="39"/>
      <c r="P398" s="262">
        <v>0</v>
      </c>
      <c r="Q398" s="510"/>
      <c r="R398" s="262">
        <v>0</v>
      </c>
      <c r="S398" s="510"/>
      <c r="T398" s="262">
        <v>0</v>
      </c>
      <c r="U398" s="521"/>
      <c r="V398" s="262">
        <v>0</v>
      </c>
      <c r="W398" s="510"/>
      <c r="X398" s="262">
        <v>0</v>
      </c>
      <c r="Y398" s="510"/>
    </row>
    <row r="399" spans="1:25" ht="12" customHeight="1">
      <c r="B399" s="86" t="s">
        <v>995</v>
      </c>
      <c r="C399" s="96" t="s">
        <v>996</v>
      </c>
      <c r="D399" s="97">
        <v>5</v>
      </c>
      <c r="E399" s="350" t="s">
        <v>997</v>
      </c>
      <c r="F399" s="339">
        <f t="shared" si="91"/>
        <v>1.7164637440252044</v>
      </c>
      <c r="G399" s="372">
        <f>I528*M399</f>
        <v>8.5823187201260218</v>
      </c>
      <c r="H399" s="308">
        <v>7.04</v>
      </c>
      <c r="I399" s="114">
        <f t="shared" si="92"/>
        <v>35.200000000000003</v>
      </c>
      <c r="J399" s="39"/>
      <c r="K399" s="187">
        <f t="shared" si="93"/>
        <v>2.39992909300407E-3</v>
      </c>
      <c r="L399" s="188">
        <f t="shared" si="94"/>
        <v>0.92428769150002377</v>
      </c>
      <c r="M399" s="189">
        <f t="shared" si="95"/>
        <v>3.5092961704685805E-5</v>
      </c>
      <c r="N399" s="190">
        <f t="shared" si="96"/>
        <v>1.3515396207527775E-2</v>
      </c>
      <c r="O399" s="39"/>
      <c r="P399" s="262">
        <v>0</v>
      </c>
      <c r="Q399" s="510"/>
      <c r="R399" s="262">
        <v>0</v>
      </c>
      <c r="S399" s="510"/>
      <c r="T399" s="262">
        <v>0</v>
      </c>
      <c r="U399" s="521"/>
      <c r="V399" s="262">
        <v>0</v>
      </c>
      <c r="W399" s="510"/>
      <c r="X399" s="262">
        <v>0</v>
      </c>
      <c r="Y399" s="510"/>
    </row>
    <row r="400" spans="1:25" ht="12" customHeight="1">
      <c r="B400" s="86" t="s">
        <v>998</v>
      </c>
      <c r="C400" s="96" t="s">
        <v>999</v>
      </c>
      <c r="D400" s="97">
        <v>30</v>
      </c>
      <c r="E400" s="350" t="s">
        <v>1000</v>
      </c>
      <c r="F400" s="339">
        <f t="shared" si="91"/>
        <v>1.2483372683819669</v>
      </c>
      <c r="G400" s="372">
        <f>I528*M400</f>
        <v>37.450118051459008</v>
      </c>
      <c r="H400" s="308">
        <v>5.12</v>
      </c>
      <c r="I400" s="114">
        <f t="shared" si="92"/>
        <v>153.6</v>
      </c>
      <c r="J400" s="39"/>
      <c r="K400" s="187">
        <f t="shared" si="93"/>
        <v>1.0472417860381396E-2</v>
      </c>
      <c r="L400" s="188">
        <f t="shared" si="94"/>
        <v>0.93476010936040521</v>
      </c>
      <c r="M400" s="189">
        <f t="shared" si="95"/>
        <v>1.5313292380226534E-4</v>
      </c>
      <c r="N400" s="190">
        <f t="shared" si="96"/>
        <v>1.3668529131330041E-2</v>
      </c>
      <c r="O400" s="39"/>
      <c r="P400" s="262">
        <v>0</v>
      </c>
      <c r="Q400" s="510"/>
      <c r="R400" s="262">
        <v>0</v>
      </c>
      <c r="S400" s="510"/>
      <c r="T400" s="262">
        <v>0</v>
      </c>
      <c r="U400" s="521"/>
      <c r="V400" s="262">
        <v>0</v>
      </c>
      <c r="W400" s="510"/>
      <c r="X400" s="262">
        <v>0</v>
      </c>
      <c r="Y400" s="510"/>
    </row>
    <row r="401" spans="1:25" ht="12" customHeight="1">
      <c r="B401" s="86" t="s">
        <v>1001</v>
      </c>
      <c r="C401" s="96" t="s">
        <v>1002</v>
      </c>
      <c r="D401" s="97">
        <v>155</v>
      </c>
      <c r="E401" s="350" t="s">
        <v>1003</v>
      </c>
      <c r="F401" s="339">
        <f t="shared" si="91"/>
        <v>0.93625295128647501</v>
      </c>
      <c r="G401" s="372">
        <f>I528*M401</f>
        <v>145.11920744940363</v>
      </c>
      <c r="H401" s="308">
        <v>3.84</v>
      </c>
      <c r="I401" s="114">
        <f t="shared" si="92"/>
        <v>595.19999999999993</v>
      </c>
      <c r="J401" s="39"/>
      <c r="K401" s="187">
        <f t="shared" si="93"/>
        <v>4.0580619208977903E-2</v>
      </c>
      <c r="L401" s="188">
        <f t="shared" si="94"/>
        <v>0.97534072856938314</v>
      </c>
      <c r="M401" s="189">
        <f t="shared" si="95"/>
        <v>5.9339007973377813E-4</v>
      </c>
      <c r="N401" s="190">
        <f t="shared" si="96"/>
        <v>1.4261919211063819E-2</v>
      </c>
      <c r="O401" s="39"/>
      <c r="P401" s="262">
        <v>0</v>
      </c>
      <c r="Q401" s="510"/>
      <c r="R401" s="262">
        <v>0</v>
      </c>
      <c r="S401" s="510"/>
      <c r="T401" s="262">
        <v>0</v>
      </c>
      <c r="U401" s="521"/>
      <c r="V401" s="262">
        <v>0</v>
      </c>
      <c r="W401" s="510"/>
      <c r="X401" s="262">
        <v>0</v>
      </c>
      <c r="Y401" s="510"/>
    </row>
    <row r="402" spans="1:25" ht="12" customHeight="1">
      <c r="B402" s="86" t="s">
        <v>1004</v>
      </c>
      <c r="C402" s="96" t="s">
        <v>1005</v>
      </c>
      <c r="D402" s="97">
        <v>1</v>
      </c>
      <c r="E402" s="350" t="s">
        <v>1006</v>
      </c>
      <c r="F402" s="345">
        <f t="shared" si="91"/>
        <v>88.183324849294877</v>
      </c>
      <c r="G402" s="372">
        <f>I528*M402</f>
        <v>88.183324849294877</v>
      </c>
      <c r="H402" s="308">
        <v>361.68</v>
      </c>
      <c r="I402" s="114">
        <f t="shared" si="92"/>
        <v>361.68</v>
      </c>
      <c r="J402" s="39"/>
      <c r="K402" s="187">
        <f t="shared" si="93"/>
        <v>2.465927143061682E-2</v>
      </c>
      <c r="L402" s="188">
        <f t="shared" si="94"/>
        <v>1</v>
      </c>
      <c r="M402" s="189">
        <f t="shared" si="95"/>
        <v>3.6058018151564664E-4</v>
      </c>
      <c r="N402" s="191">
        <f t="shared" si="96"/>
        <v>1.4622499392579466E-2</v>
      </c>
      <c r="O402" s="39"/>
      <c r="P402" s="262">
        <v>0</v>
      </c>
      <c r="Q402" s="511"/>
      <c r="R402" s="262">
        <v>0</v>
      </c>
      <c r="S402" s="511"/>
      <c r="T402" s="262">
        <v>1</v>
      </c>
      <c r="U402" s="522"/>
      <c r="V402" s="262">
        <v>1</v>
      </c>
      <c r="W402" s="511"/>
      <c r="X402" s="262">
        <v>1</v>
      </c>
      <c r="Y402" s="511"/>
    </row>
    <row r="403" spans="1:25" ht="12" customHeight="1">
      <c r="A403" s="291" t="s">
        <v>70</v>
      </c>
      <c r="B403" s="158"/>
      <c r="C403" s="159" t="s">
        <v>77</v>
      </c>
      <c r="D403" s="160"/>
      <c r="E403" s="359"/>
      <c r="F403" s="394">
        <f>+G403/D$3</f>
        <v>3.0239194705374768</v>
      </c>
      <c r="G403" s="377">
        <f>SUM(G404:G423)</f>
        <v>2784.4552876656139</v>
      </c>
      <c r="H403" s="313"/>
      <c r="I403" s="161">
        <f>SUM(I404:I423)</f>
        <v>11420.320000000003</v>
      </c>
      <c r="J403" s="39"/>
      <c r="K403" s="552" t="str">
        <f>+C403</f>
        <v>Gerais</v>
      </c>
      <c r="L403" s="553"/>
      <c r="M403" s="170">
        <f t="shared" si="95"/>
        <v>1.1385592398160725E-2</v>
      </c>
      <c r="N403" s="171"/>
      <c r="O403" s="38"/>
      <c r="P403" s="261">
        <f>SUMPRODUCT( P404:P423,$M$404:$M$423)</f>
        <v>0</v>
      </c>
      <c r="Q403" s="510">
        <f>+P403/$M$403</f>
        <v>0</v>
      </c>
      <c r="R403" s="261">
        <f>SUMPRODUCT( R404:R423,$M$404:$M$423)</f>
        <v>0</v>
      </c>
      <c r="S403" s="510">
        <f>+R403/$M$403</f>
        <v>0</v>
      </c>
      <c r="T403" s="261">
        <f>SUMPRODUCT( T404:T423,$M$404:$M$423)</f>
        <v>0</v>
      </c>
      <c r="U403" s="521">
        <f>+T403/$M$403</f>
        <v>0</v>
      </c>
      <c r="V403" s="261">
        <f>SUMPRODUCT( V404:V423,$M$404:$M$423)</f>
        <v>1.138559239816072E-2</v>
      </c>
      <c r="W403" s="510">
        <f>+V403/$M$403</f>
        <v>0.99999999999999956</v>
      </c>
      <c r="X403" s="261">
        <f>SUMPRODUCT( X404:X423,$M$404:$M$423)</f>
        <v>1.138559239816072E-2</v>
      </c>
      <c r="Y403" s="510">
        <f>+X403/$M$403</f>
        <v>0.99999999999999956</v>
      </c>
    </row>
    <row r="404" spans="1:25" ht="12" customHeight="1">
      <c r="B404" s="86" t="s">
        <v>1007</v>
      </c>
      <c r="C404" s="96" t="s">
        <v>1008</v>
      </c>
      <c r="D404" s="97">
        <v>36</v>
      </c>
      <c r="E404" s="350" t="s">
        <v>1009</v>
      </c>
      <c r="F404" s="346">
        <f t="shared" si="91"/>
        <v>0.52908044382595087</v>
      </c>
      <c r="G404" s="372">
        <f>I528*M404</f>
        <v>19.046895977734231</v>
      </c>
      <c r="H404" s="308">
        <v>2.17</v>
      </c>
      <c r="I404" s="114">
        <f t="shared" ref="I404:I423" si="97">$D404*$H404</f>
        <v>78.12</v>
      </c>
      <c r="J404" s="39"/>
      <c r="K404" s="187">
        <f>+I404/$I$403</f>
        <v>6.8404387968112965E-3</v>
      </c>
      <c r="L404" s="188">
        <f>+K404</f>
        <v>6.8404387968112965E-3</v>
      </c>
      <c r="M404" s="189">
        <f t="shared" si="95"/>
        <v>7.7882447965058383E-5</v>
      </c>
      <c r="N404" s="190">
        <f>+M404</f>
        <v>7.7882447965058383E-5</v>
      </c>
      <c r="O404" s="39"/>
      <c r="P404" s="262">
        <v>0</v>
      </c>
      <c r="Q404" s="510"/>
      <c r="R404" s="262">
        <v>0</v>
      </c>
      <c r="S404" s="510"/>
      <c r="T404" s="262">
        <v>0</v>
      </c>
      <c r="U404" s="521"/>
      <c r="V404" s="262">
        <v>1</v>
      </c>
      <c r="W404" s="510"/>
      <c r="X404" s="262">
        <v>1</v>
      </c>
      <c r="Y404" s="510"/>
    </row>
    <row r="405" spans="1:25" ht="12" customHeight="1">
      <c r="B405" s="86" t="s">
        <v>1010</v>
      </c>
      <c r="C405" s="96" t="s">
        <v>1011</v>
      </c>
      <c r="D405" s="97">
        <v>36</v>
      </c>
      <c r="E405" s="350" t="s">
        <v>1012</v>
      </c>
      <c r="F405" s="339">
        <f t="shared" si="91"/>
        <v>0.43399225346091819</v>
      </c>
      <c r="G405" s="372">
        <f>I528*M405</f>
        <v>15.623721124593056</v>
      </c>
      <c r="H405" s="308">
        <v>1.78</v>
      </c>
      <c r="I405" s="114">
        <f t="shared" si="97"/>
        <v>64.08</v>
      </c>
      <c r="J405" s="39"/>
      <c r="K405" s="187">
        <f>+I405/$I$403</f>
        <v>5.6110511789512008E-3</v>
      </c>
      <c r="L405" s="188">
        <f>+L404+K405</f>
        <v>1.2451489975762498E-2</v>
      </c>
      <c r="M405" s="189">
        <f t="shared" si="95"/>
        <v>6.3885141648757572E-5</v>
      </c>
      <c r="N405" s="190">
        <f>+N404+M405</f>
        <v>1.4176758961381594E-4</v>
      </c>
      <c r="O405" s="39"/>
      <c r="P405" s="262">
        <v>0</v>
      </c>
      <c r="Q405" s="510"/>
      <c r="R405" s="262">
        <v>0</v>
      </c>
      <c r="S405" s="510"/>
      <c r="T405" s="262">
        <v>0</v>
      </c>
      <c r="U405" s="521"/>
      <c r="V405" s="262">
        <v>1</v>
      </c>
      <c r="W405" s="510"/>
      <c r="X405" s="262">
        <v>1</v>
      </c>
      <c r="Y405" s="510"/>
    </row>
    <row r="406" spans="1:25" ht="12" customHeight="1">
      <c r="B406" s="86" t="s">
        <v>1013</v>
      </c>
      <c r="C406" s="96" t="s">
        <v>1014</v>
      </c>
      <c r="D406" s="97">
        <v>7</v>
      </c>
      <c r="E406" s="350" t="s">
        <v>1015</v>
      </c>
      <c r="F406" s="339">
        <f t="shared" si="91"/>
        <v>0.52908044382595076</v>
      </c>
      <c r="G406" s="372">
        <f>I528*M406</f>
        <v>3.7035631067816555</v>
      </c>
      <c r="H406" s="308">
        <v>2.17</v>
      </c>
      <c r="I406" s="114">
        <f t="shared" si="97"/>
        <v>15.19</v>
      </c>
      <c r="J406" s="39"/>
      <c r="K406" s="187">
        <f t="shared" ref="K406:K423" si="98">+I406/$I$403</f>
        <v>1.3300853216021964E-3</v>
      </c>
      <c r="L406" s="188">
        <f t="shared" ref="L406:L423" si="99">+L405+K406</f>
        <v>1.3781575297364694E-2</v>
      </c>
      <c r="M406" s="189">
        <f t="shared" ref="M406:M426" si="100">+I406/$I$514</f>
        <v>1.514380932653913E-5</v>
      </c>
      <c r="N406" s="190">
        <f t="shared" ref="N406:N423" si="101">+N405+M406</f>
        <v>1.5691139894035506E-4</v>
      </c>
      <c r="O406" s="39"/>
      <c r="P406" s="262">
        <v>0</v>
      </c>
      <c r="Q406" s="510"/>
      <c r="R406" s="262">
        <v>0</v>
      </c>
      <c r="S406" s="510"/>
      <c r="T406" s="262">
        <v>0</v>
      </c>
      <c r="U406" s="521"/>
      <c r="V406" s="262">
        <v>1</v>
      </c>
      <c r="W406" s="510"/>
      <c r="X406" s="262">
        <v>1</v>
      </c>
      <c r="Y406" s="510"/>
    </row>
    <row r="407" spans="1:25" ht="12" customHeight="1">
      <c r="B407" s="86" t="s">
        <v>1016</v>
      </c>
      <c r="C407" s="96" t="s">
        <v>1017</v>
      </c>
      <c r="D407" s="97">
        <v>7</v>
      </c>
      <c r="E407" s="350" t="s">
        <v>1018</v>
      </c>
      <c r="F407" s="339">
        <f t="shared" si="91"/>
        <v>0.43399225346091824</v>
      </c>
      <c r="G407" s="372">
        <f>I528*M407</f>
        <v>3.0379457742264275</v>
      </c>
      <c r="H407" s="308">
        <v>1.78</v>
      </c>
      <c r="I407" s="114">
        <f t="shared" si="97"/>
        <v>12.46</v>
      </c>
      <c r="J407" s="39"/>
      <c r="K407" s="187">
        <f t="shared" si="98"/>
        <v>1.0910377292405115E-3</v>
      </c>
      <c r="L407" s="188">
        <f t="shared" si="99"/>
        <v>1.4872613026605206E-2</v>
      </c>
      <c r="M407" s="189">
        <f t="shared" si="100"/>
        <v>1.2422110876147306E-5</v>
      </c>
      <c r="N407" s="190">
        <f t="shared" si="101"/>
        <v>1.6933350981650238E-4</v>
      </c>
      <c r="O407" s="39"/>
      <c r="P407" s="262">
        <v>0</v>
      </c>
      <c r="Q407" s="510"/>
      <c r="R407" s="262">
        <v>0</v>
      </c>
      <c r="S407" s="510"/>
      <c r="T407" s="262">
        <v>0</v>
      </c>
      <c r="U407" s="521"/>
      <c r="V407" s="262">
        <v>1</v>
      </c>
      <c r="W407" s="510"/>
      <c r="X407" s="262">
        <v>1</v>
      </c>
      <c r="Y407" s="510"/>
    </row>
    <row r="408" spans="1:25" ht="12" customHeight="1">
      <c r="B408" s="86" t="s">
        <v>1019</v>
      </c>
      <c r="C408" s="96" t="s">
        <v>1020</v>
      </c>
      <c r="D408" s="97">
        <v>234</v>
      </c>
      <c r="E408" s="350" t="s">
        <v>1021</v>
      </c>
      <c r="F408" s="339">
        <f t="shared" si="91"/>
        <v>1.197135935108488</v>
      </c>
      <c r="G408" s="372">
        <f>I528*M408</f>
        <v>280.12980881538618</v>
      </c>
      <c r="H408" s="308">
        <v>4.91</v>
      </c>
      <c r="I408" s="114">
        <f t="shared" si="97"/>
        <v>1148.94</v>
      </c>
      <c r="J408" s="39"/>
      <c r="K408" s="187">
        <f t="shared" si="98"/>
        <v>0.10060488672821775</v>
      </c>
      <c r="L408" s="188">
        <f t="shared" si="99"/>
        <v>0.11547749975482297</v>
      </c>
      <c r="M408" s="189">
        <f t="shared" si="100"/>
        <v>1.1454462335506168E-3</v>
      </c>
      <c r="N408" s="190">
        <f t="shared" si="101"/>
        <v>1.3147797433671192E-3</v>
      </c>
      <c r="O408" s="39"/>
      <c r="P408" s="262">
        <v>0</v>
      </c>
      <c r="Q408" s="510"/>
      <c r="R408" s="262">
        <v>0</v>
      </c>
      <c r="S408" s="510"/>
      <c r="T408" s="262">
        <v>0</v>
      </c>
      <c r="U408" s="521"/>
      <c r="V408" s="262">
        <v>1</v>
      </c>
      <c r="W408" s="510"/>
      <c r="X408" s="262">
        <v>1</v>
      </c>
      <c r="Y408" s="510"/>
    </row>
    <row r="409" spans="1:25" ht="12" customHeight="1">
      <c r="B409" s="86" t="s">
        <v>1022</v>
      </c>
      <c r="C409" s="96" t="s">
        <v>1023</v>
      </c>
      <c r="D409" s="97">
        <v>117</v>
      </c>
      <c r="E409" s="350" t="s">
        <v>1024</v>
      </c>
      <c r="F409" s="339">
        <f t="shared" si="91"/>
        <v>8.5238029106706179</v>
      </c>
      <c r="G409" s="372">
        <f>I528*M409</f>
        <v>997.28494054846226</v>
      </c>
      <c r="H409" s="308">
        <v>34.96</v>
      </c>
      <c r="I409" s="114">
        <f t="shared" si="97"/>
        <v>4090.32</v>
      </c>
      <c r="J409" s="39"/>
      <c r="K409" s="187">
        <f t="shared" si="98"/>
        <v>0.3581615926699076</v>
      </c>
      <c r="L409" s="188">
        <f t="shared" si="99"/>
        <v>0.47363909242473057</v>
      </c>
      <c r="M409" s="189">
        <f t="shared" si="100"/>
        <v>4.0778819068156376E-3</v>
      </c>
      <c r="N409" s="190">
        <f t="shared" si="101"/>
        <v>5.3926616501827566E-3</v>
      </c>
      <c r="O409" s="39"/>
      <c r="P409" s="262">
        <v>0</v>
      </c>
      <c r="Q409" s="510"/>
      <c r="R409" s="262">
        <v>0</v>
      </c>
      <c r="S409" s="510"/>
      <c r="T409" s="262">
        <v>0</v>
      </c>
      <c r="U409" s="521"/>
      <c r="V409" s="262">
        <v>1</v>
      </c>
      <c r="W409" s="510"/>
      <c r="X409" s="262">
        <v>1</v>
      </c>
      <c r="Y409" s="510"/>
    </row>
    <row r="410" spans="1:25" ht="12" customHeight="1">
      <c r="B410" s="86" t="s">
        <v>1025</v>
      </c>
      <c r="C410" s="96" t="s">
        <v>1026</v>
      </c>
      <c r="D410" s="97">
        <v>4</v>
      </c>
      <c r="E410" s="350" t="s">
        <v>1027</v>
      </c>
      <c r="F410" s="339">
        <f t="shared" si="91"/>
        <v>4.9762819624367083</v>
      </c>
      <c r="G410" s="372">
        <f>I528*M410</f>
        <v>19.905127849746833</v>
      </c>
      <c r="H410" s="308">
        <v>20.41</v>
      </c>
      <c r="I410" s="114">
        <f t="shared" si="97"/>
        <v>81.64</v>
      </c>
      <c r="J410" s="39"/>
      <c r="K410" s="187">
        <f t="shared" si="98"/>
        <v>7.1486613334827724E-3</v>
      </c>
      <c r="L410" s="188">
        <f t="shared" si="99"/>
        <v>0.48078775375821337</v>
      </c>
      <c r="M410" s="189">
        <f t="shared" si="100"/>
        <v>8.1391744135526968E-5</v>
      </c>
      <c r="N410" s="190">
        <f t="shared" si="101"/>
        <v>5.4740533943182833E-3</v>
      </c>
      <c r="O410" s="39"/>
      <c r="P410" s="262">
        <v>0</v>
      </c>
      <c r="Q410" s="510"/>
      <c r="R410" s="262">
        <v>0</v>
      </c>
      <c r="S410" s="510"/>
      <c r="T410" s="262">
        <v>0</v>
      </c>
      <c r="U410" s="521"/>
      <c r="V410" s="262">
        <v>1</v>
      </c>
      <c r="W410" s="510"/>
      <c r="X410" s="262">
        <v>1</v>
      </c>
      <c r="Y410" s="510"/>
    </row>
    <row r="411" spans="1:25" ht="12" customHeight="1">
      <c r="B411" s="86" t="s">
        <v>1028</v>
      </c>
      <c r="C411" s="96" t="s">
        <v>1029</v>
      </c>
      <c r="D411" s="97">
        <v>2</v>
      </c>
      <c r="E411" s="350" t="s">
        <v>1030</v>
      </c>
      <c r="F411" s="339">
        <f t="shared" si="91"/>
        <v>8.3872660219413397</v>
      </c>
      <c r="G411" s="372">
        <f>I528*M411</f>
        <v>16.774532043882679</v>
      </c>
      <c r="H411" s="308">
        <v>34.4</v>
      </c>
      <c r="I411" s="114">
        <f t="shared" si="97"/>
        <v>68.8</v>
      </c>
      <c r="J411" s="39"/>
      <c r="K411" s="187">
        <f t="shared" si="98"/>
        <v>6.0243495803970447E-3</v>
      </c>
      <c r="L411" s="188">
        <f t="shared" si="99"/>
        <v>0.48681210333861041</v>
      </c>
      <c r="M411" s="189">
        <f t="shared" si="100"/>
        <v>6.8590788786431346E-5</v>
      </c>
      <c r="N411" s="190">
        <f t="shared" si="101"/>
        <v>5.5426441831047148E-3</v>
      </c>
      <c r="O411" s="39"/>
      <c r="P411" s="262">
        <v>0</v>
      </c>
      <c r="Q411" s="510"/>
      <c r="R411" s="262">
        <v>0</v>
      </c>
      <c r="S411" s="510"/>
      <c r="T411" s="262">
        <v>0</v>
      </c>
      <c r="U411" s="521"/>
      <c r="V411" s="262">
        <v>1</v>
      </c>
      <c r="W411" s="510"/>
      <c r="X411" s="262">
        <v>1</v>
      </c>
      <c r="Y411" s="510"/>
    </row>
    <row r="412" spans="1:25" ht="12" customHeight="1">
      <c r="B412" s="86" t="s">
        <v>1031</v>
      </c>
      <c r="C412" s="96" t="s">
        <v>1032</v>
      </c>
      <c r="D412" s="97">
        <v>4</v>
      </c>
      <c r="E412" s="350" t="s">
        <v>1033</v>
      </c>
      <c r="F412" s="339">
        <f t="shared" si="91"/>
        <v>8.3872660219413397</v>
      </c>
      <c r="G412" s="372">
        <f>I528*M412</f>
        <v>33.549064087765359</v>
      </c>
      <c r="H412" s="308">
        <v>34.4</v>
      </c>
      <c r="I412" s="114">
        <f t="shared" si="97"/>
        <v>137.6</v>
      </c>
      <c r="J412" s="39"/>
      <c r="K412" s="187">
        <f t="shared" si="98"/>
        <v>1.2048699160794089E-2</v>
      </c>
      <c r="L412" s="188">
        <f t="shared" si="99"/>
        <v>0.49886080249940451</v>
      </c>
      <c r="M412" s="189">
        <f t="shared" si="100"/>
        <v>1.3718157757286269E-4</v>
      </c>
      <c r="N412" s="190">
        <f t="shared" si="101"/>
        <v>5.6798257606775777E-3</v>
      </c>
      <c r="O412" s="39"/>
      <c r="P412" s="262">
        <v>0</v>
      </c>
      <c r="Q412" s="510"/>
      <c r="R412" s="262">
        <v>0</v>
      </c>
      <c r="S412" s="510"/>
      <c r="T412" s="262">
        <v>0</v>
      </c>
      <c r="U412" s="521"/>
      <c r="V412" s="262">
        <v>1</v>
      </c>
      <c r="W412" s="510"/>
      <c r="X412" s="262">
        <v>1</v>
      </c>
      <c r="Y412" s="510"/>
    </row>
    <row r="413" spans="1:25" ht="12" customHeight="1">
      <c r="B413" s="86" t="s">
        <v>1034</v>
      </c>
      <c r="C413" s="96" t="s">
        <v>1036</v>
      </c>
      <c r="D413" s="97">
        <v>4</v>
      </c>
      <c r="E413" s="350" t="s">
        <v>1037</v>
      </c>
      <c r="F413" s="339">
        <f t="shared" si="91"/>
        <v>7.1340524361047573</v>
      </c>
      <c r="G413" s="372">
        <f>I528*M413</f>
        <v>28.536209744419029</v>
      </c>
      <c r="H413" s="308">
        <v>29.26</v>
      </c>
      <c r="I413" s="114">
        <f t="shared" si="97"/>
        <v>117.04</v>
      </c>
      <c r="J413" s="39"/>
      <c r="K413" s="187">
        <f t="shared" si="98"/>
        <v>1.0248399344326602E-2</v>
      </c>
      <c r="L413" s="188">
        <f t="shared" si="99"/>
        <v>0.5091092018437311</v>
      </c>
      <c r="M413" s="189">
        <f t="shared" si="100"/>
        <v>1.1668409766808031E-4</v>
      </c>
      <c r="N413" s="190">
        <f t="shared" si="101"/>
        <v>5.7965098583456576E-3</v>
      </c>
      <c r="O413" s="39"/>
      <c r="P413" s="262">
        <v>0</v>
      </c>
      <c r="Q413" s="510"/>
      <c r="R413" s="262">
        <v>0</v>
      </c>
      <c r="S413" s="510"/>
      <c r="T413" s="262">
        <v>0</v>
      </c>
      <c r="U413" s="521"/>
      <c r="V413" s="262">
        <v>1</v>
      </c>
      <c r="W413" s="510"/>
      <c r="X413" s="262">
        <v>1</v>
      </c>
      <c r="Y413" s="510"/>
    </row>
    <row r="414" spans="1:25" ht="12" customHeight="1">
      <c r="B414" s="86" t="s">
        <v>1038</v>
      </c>
      <c r="C414" s="96" t="s">
        <v>1039</v>
      </c>
      <c r="D414" s="97">
        <v>106</v>
      </c>
      <c r="E414" s="350" t="s">
        <v>1040</v>
      </c>
      <c r="F414" s="339">
        <f t="shared" si="91"/>
        <v>1.8968874898460357</v>
      </c>
      <c r="G414" s="372">
        <f>I528*M414</f>
        <v>201.07007392367979</v>
      </c>
      <c r="H414" s="308">
        <v>7.78</v>
      </c>
      <c r="I414" s="114">
        <f t="shared" si="97"/>
        <v>824.68000000000006</v>
      </c>
      <c r="J414" s="39"/>
      <c r="K414" s="187">
        <f t="shared" si="98"/>
        <v>7.2211636801770868E-2</v>
      </c>
      <c r="L414" s="188">
        <f t="shared" si="99"/>
        <v>0.58132083864550199</v>
      </c>
      <c r="M414" s="189">
        <f t="shared" si="100"/>
        <v>8.2217226302898556E-4</v>
      </c>
      <c r="N414" s="190">
        <f t="shared" si="101"/>
        <v>6.6186821213746428E-3</v>
      </c>
      <c r="O414" s="39"/>
      <c r="P414" s="262">
        <v>0</v>
      </c>
      <c r="Q414" s="510"/>
      <c r="R414" s="262">
        <v>0</v>
      </c>
      <c r="S414" s="510"/>
      <c r="T414" s="262">
        <v>0</v>
      </c>
      <c r="U414" s="521"/>
      <c r="V414" s="262">
        <v>1</v>
      </c>
      <c r="W414" s="510"/>
      <c r="X414" s="262">
        <v>1</v>
      </c>
      <c r="Y414" s="510"/>
    </row>
    <row r="415" spans="1:25" ht="12" customHeight="1">
      <c r="B415" s="86" t="s">
        <v>1041</v>
      </c>
      <c r="C415" s="96" t="s">
        <v>1042</v>
      </c>
      <c r="D415" s="97">
        <v>56</v>
      </c>
      <c r="E415" s="350" t="s">
        <v>1043</v>
      </c>
      <c r="F415" s="339">
        <f t="shared" si="91"/>
        <v>0.54614755491711064</v>
      </c>
      <c r="G415" s="372">
        <f>I528*M415</f>
        <v>30.584263075358194</v>
      </c>
      <c r="H415" s="308">
        <v>2.2400000000000002</v>
      </c>
      <c r="I415" s="114">
        <f t="shared" si="97"/>
        <v>125.44000000000001</v>
      </c>
      <c r="J415" s="39"/>
      <c r="K415" s="187">
        <f t="shared" si="98"/>
        <v>1.0983930397747171E-2</v>
      </c>
      <c r="L415" s="188">
        <f t="shared" si="99"/>
        <v>0.59230476904324914</v>
      </c>
      <c r="M415" s="189">
        <f t="shared" si="100"/>
        <v>1.2505855443851671E-4</v>
      </c>
      <c r="N415" s="190">
        <f t="shared" si="101"/>
        <v>6.7437406758131596E-3</v>
      </c>
      <c r="O415" s="39"/>
      <c r="P415" s="262">
        <v>0</v>
      </c>
      <c r="Q415" s="510"/>
      <c r="R415" s="262">
        <v>0</v>
      </c>
      <c r="S415" s="510"/>
      <c r="T415" s="262">
        <v>0</v>
      </c>
      <c r="U415" s="521"/>
      <c r="V415" s="262">
        <v>1</v>
      </c>
      <c r="W415" s="510"/>
      <c r="X415" s="262">
        <v>1</v>
      </c>
      <c r="Y415" s="510"/>
    </row>
    <row r="416" spans="1:25" ht="12" customHeight="1">
      <c r="B416" s="86" t="s">
        <v>1044</v>
      </c>
      <c r="C416" s="96" t="s">
        <v>1045</v>
      </c>
      <c r="D416" s="97">
        <v>48</v>
      </c>
      <c r="E416" s="350" t="s">
        <v>1046</v>
      </c>
      <c r="F416" s="339">
        <f t="shared" si="91"/>
        <v>1.9285835533010465</v>
      </c>
      <c r="G416" s="372">
        <f>I528*M416</f>
        <v>92.572010558450231</v>
      </c>
      <c r="H416" s="308">
        <v>7.91</v>
      </c>
      <c r="I416" s="114">
        <f t="shared" si="97"/>
        <v>379.68</v>
      </c>
      <c r="J416" s="39"/>
      <c r="K416" s="187">
        <f t="shared" si="98"/>
        <v>3.3246003614609741E-2</v>
      </c>
      <c r="L416" s="188">
        <f t="shared" si="99"/>
        <v>0.62555077265785886</v>
      </c>
      <c r="M416" s="189">
        <f t="shared" si="100"/>
        <v>3.7852544602372463E-4</v>
      </c>
      <c r="N416" s="190">
        <f t="shared" si="101"/>
        <v>7.1222661218368838E-3</v>
      </c>
      <c r="O416" s="39"/>
      <c r="P416" s="262">
        <v>0</v>
      </c>
      <c r="Q416" s="510"/>
      <c r="R416" s="262">
        <v>0</v>
      </c>
      <c r="S416" s="510"/>
      <c r="T416" s="262">
        <v>0</v>
      </c>
      <c r="U416" s="521"/>
      <c r="V416" s="262">
        <v>1</v>
      </c>
      <c r="W416" s="510"/>
      <c r="X416" s="262">
        <v>1</v>
      </c>
      <c r="Y416" s="510"/>
    </row>
    <row r="417" spans="1:25" ht="12" customHeight="1">
      <c r="B417" s="86" t="s">
        <v>1047</v>
      </c>
      <c r="C417" s="96" t="s">
        <v>1048</v>
      </c>
      <c r="D417" s="97">
        <v>16</v>
      </c>
      <c r="E417" s="350" t="s">
        <v>1049</v>
      </c>
      <c r="F417" s="339">
        <f t="shared" si="91"/>
        <v>0.59003441200866402</v>
      </c>
      <c r="G417" s="372">
        <f>I528*M417</f>
        <v>9.4405505921386244</v>
      </c>
      <c r="H417" s="308">
        <v>2.42</v>
      </c>
      <c r="I417" s="114">
        <f t="shared" si="97"/>
        <v>38.72</v>
      </c>
      <c r="J417" s="39"/>
      <c r="K417" s="187">
        <f t="shared" si="98"/>
        <v>3.3904479033862438E-3</v>
      </c>
      <c r="L417" s="188">
        <f t="shared" si="99"/>
        <v>0.62894122056124513</v>
      </c>
      <c r="M417" s="189">
        <f t="shared" si="100"/>
        <v>3.8602257875154384E-5</v>
      </c>
      <c r="N417" s="190">
        <f t="shared" si="101"/>
        <v>7.1608683797120386E-3</v>
      </c>
      <c r="O417" s="39"/>
      <c r="P417" s="262">
        <v>0</v>
      </c>
      <c r="Q417" s="510"/>
      <c r="R417" s="262">
        <v>0</v>
      </c>
      <c r="S417" s="510"/>
      <c r="T417" s="262">
        <v>0</v>
      </c>
      <c r="U417" s="521"/>
      <c r="V417" s="262">
        <v>1</v>
      </c>
      <c r="W417" s="510"/>
      <c r="X417" s="262">
        <v>1</v>
      </c>
      <c r="Y417" s="510"/>
    </row>
    <row r="418" spans="1:25" ht="12" customHeight="1">
      <c r="B418" s="86" t="s">
        <v>1050</v>
      </c>
      <c r="C418" s="96" t="s">
        <v>1051</v>
      </c>
      <c r="D418" s="97">
        <v>6</v>
      </c>
      <c r="E418" s="350" t="s">
        <v>1052</v>
      </c>
      <c r="F418" s="339">
        <f t="shared" si="91"/>
        <v>0.65830285637330299</v>
      </c>
      <c r="G418" s="372">
        <f>I528*M418</f>
        <v>3.9498171382398182</v>
      </c>
      <c r="H418" s="308">
        <v>2.7</v>
      </c>
      <c r="I418" s="114">
        <f t="shared" si="97"/>
        <v>16.200000000000003</v>
      </c>
      <c r="J418" s="39"/>
      <c r="K418" s="187">
        <f t="shared" si="98"/>
        <v>1.4185241744539556E-3</v>
      </c>
      <c r="L418" s="188">
        <f t="shared" si="99"/>
        <v>0.63035974473569911</v>
      </c>
      <c r="M418" s="189">
        <f t="shared" si="100"/>
        <v>1.6150738057270176E-5</v>
      </c>
      <c r="N418" s="190">
        <f t="shared" si="101"/>
        <v>7.1770191177693088E-3</v>
      </c>
      <c r="O418" s="39"/>
      <c r="P418" s="262">
        <v>0</v>
      </c>
      <c r="Q418" s="510"/>
      <c r="R418" s="262">
        <v>0</v>
      </c>
      <c r="S418" s="510"/>
      <c r="T418" s="262">
        <v>0</v>
      </c>
      <c r="U418" s="521"/>
      <c r="V418" s="262">
        <v>1</v>
      </c>
      <c r="W418" s="510"/>
      <c r="X418" s="262">
        <v>1</v>
      </c>
      <c r="Y418" s="510"/>
    </row>
    <row r="419" spans="1:25" ht="12" customHeight="1">
      <c r="B419" s="86" t="s">
        <v>1053</v>
      </c>
      <c r="C419" s="96" t="s">
        <v>1054</v>
      </c>
      <c r="D419" s="97">
        <v>3</v>
      </c>
      <c r="E419" s="350" t="s">
        <v>1055</v>
      </c>
      <c r="F419" s="339">
        <f t="shared" si="91"/>
        <v>0.50226069782555693</v>
      </c>
      <c r="G419" s="372">
        <f>I528*M419</f>
        <v>1.5067820934766709</v>
      </c>
      <c r="H419" s="308">
        <v>2.06</v>
      </c>
      <c r="I419" s="114">
        <f t="shared" si="97"/>
        <v>6.18</v>
      </c>
      <c r="J419" s="39"/>
      <c r="K419" s="187">
        <f t="shared" si="98"/>
        <v>5.4114070358799035E-4</v>
      </c>
      <c r="L419" s="188">
        <f t="shared" si="99"/>
        <v>0.63090088543928713</v>
      </c>
      <c r="M419" s="189">
        <f t="shared" si="100"/>
        <v>6.1612074811067693E-6</v>
      </c>
      <c r="N419" s="190">
        <f t="shared" si="101"/>
        <v>7.183180325250416E-3</v>
      </c>
      <c r="O419" s="39"/>
      <c r="P419" s="262">
        <v>0</v>
      </c>
      <c r="Q419" s="510"/>
      <c r="R419" s="262">
        <v>0</v>
      </c>
      <c r="S419" s="510"/>
      <c r="T419" s="262">
        <v>0</v>
      </c>
      <c r="U419" s="521"/>
      <c r="V419" s="262">
        <v>1</v>
      </c>
      <c r="W419" s="510"/>
      <c r="X419" s="262">
        <v>1</v>
      </c>
      <c r="Y419" s="510"/>
    </row>
    <row r="420" spans="1:25" ht="12" customHeight="1">
      <c r="B420" s="86" t="s">
        <v>1056</v>
      </c>
      <c r="C420" s="96" t="s">
        <v>1057</v>
      </c>
      <c r="D420" s="97">
        <v>64</v>
      </c>
      <c r="E420" s="350" t="s">
        <v>1058</v>
      </c>
      <c r="F420" s="339">
        <f t="shared" si="91"/>
        <v>0.49494622164363133</v>
      </c>
      <c r="G420" s="372">
        <f>I528*M420</f>
        <v>31.676558185192405</v>
      </c>
      <c r="H420" s="308">
        <v>2.0299999999999998</v>
      </c>
      <c r="I420" s="114">
        <f t="shared" si="97"/>
        <v>129.91999999999999</v>
      </c>
      <c r="J420" s="39"/>
      <c r="K420" s="187">
        <f t="shared" si="98"/>
        <v>1.1376213626238139E-2</v>
      </c>
      <c r="L420" s="188">
        <f t="shared" si="99"/>
        <v>0.64227709906552521</v>
      </c>
      <c r="M420" s="189">
        <f t="shared" si="100"/>
        <v>1.2952493138274941E-4</v>
      </c>
      <c r="N420" s="190">
        <f t="shared" si="101"/>
        <v>7.3127052566331653E-3</v>
      </c>
      <c r="O420" s="39"/>
      <c r="P420" s="262">
        <v>0</v>
      </c>
      <c r="Q420" s="510"/>
      <c r="R420" s="262">
        <v>0</v>
      </c>
      <c r="S420" s="510"/>
      <c r="T420" s="262">
        <v>0</v>
      </c>
      <c r="U420" s="521"/>
      <c r="V420" s="262">
        <v>1</v>
      </c>
      <c r="W420" s="510"/>
      <c r="X420" s="262">
        <v>1</v>
      </c>
      <c r="Y420" s="510"/>
    </row>
    <row r="421" spans="1:25" ht="12" customHeight="1">
      <c r="B421" s="86" t="s">
        <v>1059</v>
      </c>
      <c r="C421" s="96" t="s">
        <v>1060</v>
      </c>
      <c r="D421" s="97">
        <v>60</v>
      </c>
      <c r="E421" s="350" t="s">
        <v>1061</v>
      </c>
      <c r="F421" s="339">
        <f t="shared" si="91"/>
        <v>0.49494622164363133</v>
      </c>
      <c r="G421" s="372">
        <f>I528*M421</f>
        <v>29.696773298617881</v>
      </c>
      <c r="H421" s="308">
        <v>2.0299999999999998</v>
      </c>
      <c r="I421" s="114">
        <f t="shared" si="97"/>
        <v>121.79999999999998</v>
      </c>
      <c r="J421" s="39"/>
      <c r="K421" s="187">
        <f t="shared" si="98"/>
        <v>1.0665200274598255E-2</v>
      </c>
      <c r="L421" s="188">
        <f t="shared" si="99"/>
        <v>0.65294229934012349</v>
      </c>
      <c r="M421" s="189">
        <f t="shared" si="100"/>
        <v>1.2142962317132758E-4</v>
      </c>
      <c r="N421" s="190">
        <f t="shared" si="101"/>
        <v>7.4341348798044925E-3</v>
      </c>
      <c r="O421" s="39"/>
      <c r="P421" s="262">
        <v>0</v>
      </c>
      <c r="Q421" s="510"/>
      <c r="R421" s="262">
        <v>0</v>
      </c>
      <c r="S421" s="510"/>
      <c r="T421" s="262">
        <v>0</v>
      </c>
      <c r="U421" s="521"/>
      <c r="V421" s="262">
        <v>1</v>
      </c>
      <c r="W421" s="510"/>
      <c r="X421" s="262">
        <v>1</v>
      </c>
      <c r="Y421" s="510"/>
    </row>
    <row r="422" spans="1:25" ht="12" customHeight="1">
      <c r="B422" s="182">
        <v>19108</v>
      </c>
      <c r="C422" s="96" t="s">
        <v>1062</v>
      </c>
      <c r="D422" s="97">
        <v>423</v>
      </c>
      <c r="E422" s="350" t="s">
        <v>1063</v>
      </c>
      <c r="F422" s="339">
        <f t="shared" si="91"/>
        <v>0.22674876163969324</v>
      </c>
      <c r="G422" s="372">
        <f>I528*M422</f>
        <v>95.914726173590239</v>
      </c>
      <c r="H422" s="308">
        <v>0.93</v>
      </c>
      <c r="I422" s="114">
        <f t="shared" si="97"/>
        <v>393.39000000000004</v>
      </c>
      <c r="J422" s="39"/>
      <c r="K422" s="187">
        <f t="shared" si="98"/>
        <v>3.4446495369656889E-2</v>
      </c>
      <c r="L422" s="188">
        <f t="shared" si="99"/>
        <v>0.68738879470978043</v>
      </c>
      <c r="M422" s="189">
        <f t="shared" si="100"/>
        <v>3.9219375582404408E-4</v>
      </c>
      <c r="N422" s="190">
        <f t="shared" si="101"/>
        <v>7.8263286356285364E-3</v>
      </c>
      <c r="O422" s="39"/>
      <c r="P422" s="262">
        <v>0</v>
      </c>
      <c r="Q422" s="510"/>
      <c r="R422" s="262">
        <v>0</v>
      </c>
      <c r="S422" s="510"/>
      <c r="T422" s="262">
        <v>0</v>
      </c>
      <c r="U422" s="521"/>
      <c r="V422" s="262">
        <v>1</v>
      </c>
      <c r="W422" s="510"/>
      <c r="X422" s="262">
        <v>1</v>
      </c>
      <c r="Y422" s="510"/>
    </row>
    <row r="423" spans="1:25" ht="12" customHeight="1">
      <c r="B423" s="182">
        <v>19109</v>
      </c>
      <c r="C423" s="96" t="s">
        <v>1064</v>
      </c>
      <c r="D423" s="97">
        <v>846</v>
      </c>
      <c r="E423" s="350" t="s">
        <v>1065</v>
      </c>
      <c r="F423" s="345">
        <f t="shared" si="91"/>
        <v>1.0289029829241993</v>
      </c>
      <c r="G423" s="372">
        <f>I528*M423</f>
        <v>870.45192355387258</v>
      </c>
      <c r="H423" s="308">
        <v>4.22</v>
      </c>
      <c r="I423" s="114">
        <f t="shared" si="97"/>
        <v>3570.12</v>
      </c>
      <c r="J423" s="39"/>
      <c r="K423" s="187">
        <f t="shared" si="98"/>
        <v>0.31261120529021946</v>
      </c>
      <c r="L423" s="188">
        <f t="shared" si="99"/>
        <v>0.99999999999999989</v>
      </c>
      <c r="M423" s="189">
        <f t="shared" si="100"/>
        <v>3.5592637625321841E-3</v>
      </c>
      <c r="N423" s="191">
        <f t="shared" si="101"/>
        <v>1.138559239816072E-2</v>
      </c>
      <c r="O423" s="39"/>
      <c r="P423" s="262">
        <v>0</v>
      </c>
      <c r="Q423" s="511"/>
      <c r="R423" s="262">
        <v>0</v>
      </c>
      <c r="S423" s="511"/>
      <c r="T423" s="262">
        <v>0</v>
      </c>
      <c r="U423" s="522"/>
      <c r="V423" s="262">
        <v>1</v>
      </c>
      <c r="W423" s="511"/>
      <c r="X423" s="262">
        <v>1</v>
      </c>
      <c r="Y423" s="511"/>
    </row>
    <row r="424" spans="1:25" ht="12" customHeight="1">
      <c r="A424" s="291" t="s">
        <v>70</v>
      </c>
      <c r="B424" s="158"/>
      <c r="C424" s="159" t="s">
        <v>588</v>
      </c>
      <c r="D424" s="160"/>
      <c r="E424" s="359"/>
      <c r="F424" s="394">
        <f>+G424/D$3</f>
        <v>0.99956537817402558</v>
      </c>
      <c r="G424" s="377">
        <f>SUM(G425:G445)</f>
        <v>920.40979587642448</v>
      </c>
      <c r="H424" s="313"/>
      <c r="I424" s="161">
        <f>SUM(I425:I445)</f>
        <v>50892.539999999994</v>
      </c>
      <c r="J424" s="39"/>
      <c r="K424" s="552" t="str">
        <f>+C424</f>
        <v>Quadros de Distribuição e nobreak</v>
      </c>
      <c r="L424" s="553"/>
      <c r="M424" s="170">
        <f t="shared" si="100"/>
        <v>5.073778287710768E-2</v>
      </c>
      <c r="N424" s="171"/>
      <c r="O424" s="38"/>
      <c r="P424" s="261">
        <f>SUMPRODUCT( P425:P445,$M$425:$M$445)</f>
        <v>0</v>
      </c>
      <c r="Q424" s="510">
        <f>+P424/$M$424</f>
        <v>0</v>
      </c>
      <c r="R424" s="261">
        <f>SUMPRODUCT( R425:R445,$M$425:$M$445)</f>
        <v>0</v>
      </c>
      <c r="S424" s="510">
        <f>+R424/$M$424</f>
        <v>0</v>
      </c>
      <c r="T424" s="261">
        <f>SUMPRODUCT( T425:T445,$M$425:$M$445)</f>
        <v>0</v>
      </c>
      <c r="U424" s="521">
        <f>+T424/$M$424</f>
        <v>0</v>
      </c>
      <c r="V424" s="261">
        <f>SUMPRODUCT( V425:V445,$M$425:$M$445)</f>
        <v>0</v>
      </c>
      <c r="W424" s="510">
        <f>+V424/$M$424</f>
        <v>0</v>
      </c>
      <c r="X424" s="261">
        <f>SUMPRODUCT( X425:X445,$M$425:$M$445)</f>
        <v>0</v>
      </c>
      <c r="Y424" s="510">
        <f>+X424/$M$424</f>
        <v>0</v>
      </c>
    </row>
    <row r="425" spans="1:25" ht="12" customHeight="1">
      <c r="B425" s="182">
        <v>19110</v>
      </c>
      <c r="C425" s="96" t="s">
        <v>1093</v>
      </c>
      <c r="D425" s="97">
        <v>1</v>
      </c>
      <c r="E425" s="350" t="s">
        <v>1066</v>
      </c>
      <c r="F425" s="346">
        <f t="shared" si="91"/>
        <v>39.673718810764385</v>
      </c>
      <c r="G425" s="372">
        <f>I528*M425</f>
        <v>39.673718810764385</v>
      </c>
      <c r="H425" s="308">
        <v>162.72</v>
      </c>
      <c r="I425" s="114">
        <f t="shared" ref="I425:I445" si="102">$D425*$H425</f>
        <v>162.72</v>
      </c>
      <c r="J425" s="39"/>
      <c r="K425" s="187">
        <f>+I425/$I$424</f>
        <v>3.1973251875422218E-3</v>
      </c>
      <c r="L425" s="188">
        <f>+K425</f>
        <v>3.1973251875422218E-3</v>
      </c>
      <c r="M425" s="189">
        <f t="shared" si="100"/>
        <v>1.6222519115302483E-4</v>
      </c>
      <c r="N425" s="190">
        <f>+M425</f>
        <v>1.6222519115302483E-4</v>
      </c>
      <c r="O425" s="39"/>
      <c r="P425" s="262">
        <v>0</v>
      </c>
      <c r="Q425" s="510"/>
      <c r="R425" s="262">
        <v>0</v>
      </c>
      <c r="S425" s="510"/>
      <c r="T425" s="262">
        <v>0</v>
      </c>
      <c r="U425" s="521"/>
      <c r="V425" s="262">
        <v>0</v>
      </c>
      <c r="W425" s="510"/>
      <c r="X425" s="262">
        <v>0</v>
      </c>
      <c r="Y425" s="510"/>
    </row>
    <row r="426" spans="1:25" ht="12" customHeight="1">
      <c r="B426" s="182">
        <v>19111</v>
      </c>
      <c r="C426" s="96" t="s">
        <v>1094</v>
      </c>
      <c r="D426" s="97">
        <v>1</v>
      </c>
      <c r="E426" s="350" t="s">
        <v>1067</v>
      </c>
      <c r="F426" s="339">
        <f t="shared" si="91"/>
        <v>293.26904619685183</v>
      </c>
      <c r="G426" s="372">
        <f>I528*M426</f>
        <v>293.26904619685183</v>
      </c>
      <c r="H426" s="308">
        <v>1202.83</v>
      </c>
      <c r="I426" s="114">
        <f t="shared" si="102"/>
        <v>1202.83</v>
      </c>
      <c r="J426" s="39"/>
      <c r="K426" s="187">
        <f>+I426/$I$424</f>
        <v>2.363470166747425E-2</v>
      </c>
      <c r="L426" s="188">
        <f>+L425+K426</f>
        <v>2.6832026855016473E-2</v>
      </c>
      <c r="M426" s="189">
        <f t="shared" si="100"/>
        <v>1.1991723615695235E-3</v>
      </c>
      <c r="N426" s="190">
        <f>+N425+M426</f>
        <v>1.3613975527225484E-3</v>
      </c>
      <c r="O426" s="39"/>
      <c r="P426" s="262">
        <v>0</v>
      </c>
      <c r="Q426" s="510"/>
      <c r="R426" s="262">
        <v>0</v>
      </c>
      <c r="S426" s="510"/>
      <c r="T426" s="262">
        <v>0</v>
      </c>
      <c r="U426" s="521"/>
      <c r="V426" s="262">
        <v>0</v>
      </c>
      <c r="W426" s="510"/>
      <c r="X426" s="262">
        <v>0</v>
      </c>
      <c r="Y426" s="510"/>
    </row>
    <row r="427" spans="1:25" ht="12" customHeight="1">
      <c r="B427" s="182">
        <v>19112</v>
      </c>
      <c r="C427" s="96" t="s">
        <v>1095</v>
      </c>
      <c r="D427" s="97">
        <v>1</v>
      </c>
      <c r="E427" s="350" t="s">
        <v>1068</v>
      </c>
      <c r="F427" s="339">
        <f t="shared" si="91"/>
        <v>34.356094626504486</v>
      </c>
      <c r="G427" s="372">
        <f>I528*M427</f>
        <v>34.356094626504486</v>
      </c>
      <c r="H427" s="308">
        <v>140.91</v>
      </c>
      <c r="I427" s="114">
        <f t="shared" si="102"/>
        <v>140.91</v>
      </c>
      <c r="J427" s="39"/>
      <c r="K427" s="187">
        <f t="shared" ref="K427:K445" si="103">+I427/$I$424</f>
        <v>2.7687751485777684E-3</v>
      </c>
      <c r="L427" s="188">
        <f t="shared" ref="L427:L445" si="104">+L426+K427</f>
        <v>2.9600802003594242E-2</v>
      </c>
      <c r="M427" s="189">
        <f t="shared" ref="M427:M448" si="105">+I427/$I$514</f>
        <v>1.4048151232407037E-4</v>
      </c>
      <c r="N427" s="190">
        <f t="shared" ref="N427:N445" si="106">+N426+M427</f>
        <v>1.5018790650466187E-3</v>
      </c>
      <c r="O427" s="39"/>
      <c r="P427" s="262">
        <v>0</v>
      </c>
      <c r="Q427" s="510"/>
      <c r="R427" s="262">
        <v>0</v>
      </c>
      <c r="S427" s="510"/>
      <c r="T427" s="262">
        <v>0</v>
      </c>
      <c r="U427" s="521"/>
      <c r="V427" s="262">
        <v>0</v>
      </c>
      <c r="W427" s="510"/>
      <c r="X427" s="262">
        <v>0</v>
      </c>
      <c r="Y427" s="510"/>
    </row>
    <row r="428" spans="1:25" ht="12" customHeight="1">
      <c r="B428" s="182">
        <v>19113</v>
      </c>
      <c r="C428" s="96" t="s">
        <v>1096</v>
      </c>
      <c r="D428" s="97">
        <v>1</v>
      </c>
      <c r="E428" s="350" t="s">
        <v>1069</v>
      </c>
      <c r="F428" s="339">
        <f t="shared" si="91"/>
        <v>23.879326575259732</v>
      </c>
      <c r="G428" s="372">
        <f>I528*M428</f>
        <v>23.879326575259732</v>
      </c>
      <c r="H428" s="308">
        <v>97.94</v>
      </c>
      <c r="I428" s="114">
        <f t="shared" si="102"/>
        <v>97.94</v>
      </c>
      <c r="J428" s="39"/>
      <c r="K428" s="187">
        <f t="shared" si="103"/>
        <v>1.9244470800632079E-3</v>
      </c>
      <c r="L428" s="188">
        <f t="shared" si="104"/>
        <v>3.1525249083657447E-2</v>
      </c>
      <c r="M428" s="189">
        <f t="shared" si="105"/>
        <v>9.76421781067309E-5</v>
      </c>
      <c r="N428" s="190">
        <f t="shared" si="106"/>
        <v>1.5995212431533497E-3</v>
      </c>
      <c r="O428" s="39"/>
      <c r="P428" s="262">
        <v>0</v>
      </c>
      <c r="Q428" s="510"/>
      <c r="R428" s="262">
        <v>0</v>
      </c>
      <c r="S428" s="510"/>
      <c r="T428" s="262">
        <v>0</v>
      </c>
      <c r="U428" s="521"/>
      <c r="V428" s="262">
        <v>0</v>
      </c>
      <c r="W428" s="510"/>
      <c r="X428" s="262">
        <v>0</v>
      </c>
      <c r="Y428" s="510"/>
    </row>
    <row r="429" spans="1:25" ht="12" customHeight="1">
      <c r="B429" s="182">
        <v>19114</v>
      </c>
      <c r="C429" s="96" t="s">
        <v>1097</v>
      </c>
      <c r="D429" s="97">
        <v>1</v>
      </c>
      <c r="E429" s="350" t="s">
        <v>1070</v>
      </c>
      <c r="F429" s="339">
        <f t="shared" si="91"/>
        <v>12.897859667462118</v>
      </c>
      <c r="G429" s="372">
        <f>I528*M429</f>
        <v>12.897859667462118</v>
      </c>
      <c r="H429" s="308">
        <v>52.9</v>
      </c>
      <c r="I429" s="114">
        <f t="shared" si="102"/>
        <v>52.9</v>
      </c>
      <c r="J429" s="39"/>
      <c r="K429" s="187">
        <f t="shared" si="103"/>
        <v>1.0394450738752674E-3</v>
      </c>
      <c r="L429" s="188">
        <f t="shared" si="104"/>
        <v>3.2564694157532714E-2</v>
      </c>
      <c r="M429" s="189">
        <f t="shared" si="105"/>
        <v>5.273913847096247E-5</v>
      </c>
      <c r="N429" s="190">
        <f t="shared" si="106"/>
        <v>1.6522603816243122E-3</v>
      </c>
      <c r="O429" s="39"/>
      <c r="P429" s="262">
        <v>0</v>
      </c>
      <c r="Q429" s="510"/>
      <c r="R429" s="262">
        <v>0</v>
      </c>
      <c r="S429" s="510"/>
      <c r="T429" s="262">
        <v>0</v>
      </c>
      <c r="U429" s="521"/>
      <c r="V429" s="262">
        <v>0</v>
      </c>
      <c r="W429" s="510"/>
      <c r="X429" s="262">
        <v>0</v>
      </c>
      <c r="Y429" s="510"/>
    </row>
    <row r="430" spans="1:25" ht="12" customHeight="1">
      <c r="B430" s="182">
        <v>19115</v>
      </c>
      <c r="C430" s="96" t="s">
        <v>1098</v>
      </c>
      <c r="D430" s="97">
        <v>1</v>
      </c>
      <c r="E430" s="350" t="s">
        <v>1071</v>
      </c>
      <c r="F430" s="339">
        <f t="shared" si="91"/>
        <v>13.775596809293191</v>
      </c>
      <c r="G430" s="372">
        <f>I528*M430</f>
        <v>13.775596809293191</v>
      </c>
      <c r="H430" s="308">
        <v>56.5</v>
      </c>
      <c r="I430" s="114">
        <f t="shared" si="102"/>
        <v>56.5</v>
      </c>
      <c r="J430" s="39"/>
      <c r="K430" s="187">
        <f t="shared" si="103"/>
        <v>1.1101823567854936E-3</v>
      </c>
      <c r="L430" s="188">
        <f t="shared" si="104"/>
        <v>3.3674876514318206E-2</v>
      </c>
      <c r="M430" s="189">
        <f t="shared" si="105"/>
        <v>5.632819137257807E-5</v>
      </c>
      <c r="N430" s="190">
        <f t="shared" si="106"/>
        <v>1.7085885729968904E-3</v>
      </c>
      <c r="O430" s="39"/>
      <c r="P430" s="262">
        <v>0</v>
      </c>
      <c r="Q430" s="510"/>
      <c r="R430" s="262">
        <v>0</v>
      </c>
      <c r="S430" s="510"/>
      <c r="T430" s="262">
        <v>0</v>
      </c>
      <c r="U430" s="521"/>
      <c r="V430" s="262">
        <v>0</v>
      </c>
      <c r="W430" s="510"/>
      <c r="X430" s="262">
        <v>0</v>
      </c>
      <c r="Y430" s="510"/>
    </row>
    <row r="431" spans="1:25" ht="12" customHeight="1">
      <c r="B431" s="182">
        <v>19116</v>
      </c>
      <c r="C431" s="96" t="s">
        <v>1099</v>
      </c>
      <c r="D431" s="97">
        <v>1</v>
      </c>
      <c r="E431" s="350" t="s">
        <v>1072</v>
      </c>
      <c r="F431" s="339">
        <f t="shared" si="91"/>
        <v>7.9630264033896552</v>
      </c>
      <c r="G431" s="372">
        <f>I528*M431</f>
        <v>7.9630264033896552</v>
      </c>
      <c r="H431" s="308">
        <v>32.659999999999997</v>
      </c>
      <c r="I431" s="114">
        <f t="shared" si="102"/>
        <v>32.659999999999997</v>
      </c>
      <c r="J431" s="39"/>
      <c r="K431" s="187">
        <f t="shared" si="103"/>
        <v>6.4174434995777378E-4</v>
      </c>
      <c r="L431" s="188">
        <f t="shared" si="104"/>
        <v>3.4316620864275976E-2</v>
      </c>
      <c r="M431" s="189">
        <f t="shared" si="105"/>
        <v>3.2560685490768132E-5</v>
      </c>
      <c r="N431" s="190">
        <f t="shared" si="106"/>
        <v>1.7411492584876586E-3</v>
      </c>
      <c r="O431" s="39"/>
      <c r="P431" s="262">
        <v>0</v>
      </c>
      <c r="Q431" s="510"/>
      <c r="R431" s="262">
        <v>0</v>
      </c>
      <c r="S431" s="510"/>
      <c r="T431" s="262">
        <v>0</v>
      </c>
      <c r="U431" s="521"/>
      <c r="V431" s="262">
        <v>0</v>
      </c>
      <c r="W431" s="510"/>
      <c r="X431" s="262">
        <v>0</v>
      </c>
      <c r="Y431" s="510"/>
    </row>
    <row r="432" spans="1:25" ht="12" customHeight="1">
      <c r="B432" s="182">
        <v>19117</v>
      </c>
      <c r="C432" s="96" t="s">
        <v>1100</v>
      </c>
      <c r="D432" s="97">
        <v>1</v>
      </c>
      <c r="E432" s="350" t="s">
        <v>1073</v>
      </c>
      <c r="F432" s="339">
        <f t="shared" si="91"/>
        <v>50.557659369469661</v>
      </c>
      <c r="G432" s="372">
        <f>I528*M432</f>
        <v>50.557659369469661</v>
      </c>
      <c r="H432" s="308">
        <v>207.36</v>
      </c>
      <c r="I432" s="114">
        <f t="shared" si="102"/>
        <v>207.36</v>
      </c>
      <c r="J432" s="39"/>
      <c r="K432" s="187">
        <f t="shared" si="103"/>
        <v>4.0744674956290266E-3</v>
      </c>
      <c r="L432" s="188">
        <f t="shared" si="104"/>
        <v>3.8391088359905005E-2</v>
      </c>
      <c r="M432" s="189">
        <f t="shared" si="105"/>
        <v>2.0672944713305821E-4</v>
      </c>
      <c r="N432" s="190">
        <f t="shared" si="106"/>
        <v>1.9478787056207167E-3</v>
      </c>
      <c r="O432" s="39"/>
      <c r="P432" s="262">
        <v>0</v>
      </c>
      <c r="Q432" s="510"/>
      <c r="R432" s="262">
        <v>0</v>
      </c>
      <c r="S432" s="510"/>
      <c r="T432" s="262">
        <v>0</v>
      </c>
      <c r="U432" s="521"/>
      <c r="V432" s="262">
        <v>0</v>
      </c>
      <c r="W432" s="510"/>
      <c r="X432" s="262">
        <v>0</v>
      </c>
      <c r="Y432" s="510"/>
    </row>
    <row r="433" spans="1:25" ht="12" customHeight="1">
      <c r="B433" s="182">
        <v>19118</v>
      </c>
      <c r="C433" s="96" t="s">
        <v>1101</v>
      </c>
      <c r="D433" s="97">
        <v>1</v>
      </c>
      <c r="E433" s="350" t="s">
        <v>1074</v>
      </c>
      <c r="F433" s="339">
        <f t="shared" si="91"/>
        <v>23.879326575259732</v>
      </c>
      <c r="G433" s="372">
        <f>I528*M433</f>
        <v>23.879326575259732</v>
      </c>
      <c r="H433" s="308">
        <v>97.94</v>
      </c>
      <c r="I433" s="114">
        <f t="shared" si="102"/>
        <v>97.94</v>
      </c>
      <c r="J433" s="39"/>
      <c r="K433" s="187">
        <f t="shared" si="103"/>
        <v>1.9244470800632079E-3</v>
      </c>
      <c r="L433" s="188">
        <f t="shared" si="104"/>
        <v>4.0315535439968214E-2</v>
      </c>
      <c r="M433" s="189">
        <f t="shared" si="105"/>
        <v>9.76421781067309E-5</v>
      </c>
      <c r="N433" s="190">
        <f t="shared" si="106"/>
        <v>2.0455208837274474E-3</v>
      </c>
      <c r="O433" s="39"/>
      <c r="P433" s="262">
        <v>0</v>
      </c>
      <c r="Q433" s="510"/>
      <c r="R433" s="262">
        <v>0</v>
      </c>
      <c r="S433" s="510"/>
      <c r="T433" s="262">
        <v>0</v>
      </c>
      <c r="U433" s="521"/>
      <c r="V433" s="262">
        <v>0</v>
      </c>
      <c r="W433" s="510"/>
      <c r="X433" s="262">
        <v>0</v>
      </c>
      <c r="Y433" s="510"/>
    </row>
    <row r="434" spans="1:25" ht="12" customHeight="1">
      <c r="B434" s="182">
        <v>19119</v>
      </c>
      <c r="C434" s="96" t="s">
        <v>1102</v>
      </c>
      <c r="D434" s="97">
        <v>1</v>
      </c>
      <c r="E434" s="350" t="s">
        <v>1075</v>
      </c>
      <c r="F434" s="339">
        <f t="shared" si="91"/>
        <v>7.9630264033896552</v>
      </c>
      <c r="G434" s="372">
        <f>I528*M434</f>
        <v>7.9630264033896552</v>
      </c>
      <c r="H434" s="308">
        <v>32.659999999999997</v>
      </c>
      <c r="I434" s="114">
        <f t="shared" si="102"/>
        <v>32.659999999999997</v>
      </c>
      <c r="J434" s="39"/>
      <c r="K434" s="187">
        <f t="shared" si="103"/>
        <v>6.4174434995777378E-4</v>
      </c>
      <c r="L434" s="188">
        <f t="shared" si="104"/>
        <v>4.0957279789925985E-2</v>
      </c>
      <c r="M434" s="189">
        <f t="shared" si="105"/>
        <v>3.2560685490768132E-5</v>
      </c>
      <c r="N434" s="190">
        <f t="shared" si="106"/>
        <v>2.0780815692182154E-3</v>
      </c>
      <c r="O434" s="39"/>
      <c r="P434" s="262">
        <v>0</v>
      </c>
      <c r="Q434" s="510"/>
      <c r="R434" s="262">
        <v>0</v>
      </c>
      <c r="S434" s="510"/>
      <c r="T434" s="262">
        <v>0</v>
      </c>
      <c r="U434" s="521"/>
      <c r="V434" s="262">
        <v>0</v>
      </c>
      <c r="W434" s="510"/>
      <c r="X434" s="262">
        <v>0</v>
      </c>
      <c r="Y434" s="510"/>
    </row>
    <row r="435" spans="1:25" ht="12" customHeight="1">
      <c r="B435" s="182">
        <v>19120</v>
      </c>
      <c r="C435" s="96" t="s">
        <v>1103</v>
      </c>
      <c r="D435" s="97">
        <v>20</v>
      </c>
      <c r="E435" s="350" t="s">
        <v>1076</v>
      </c>
      <c r="F435" s="339">
        <f t="shared" si="91"/>
        <v>2.3601376480346561</v>
      </c>
      <c r="G435" s="372">
        <f>I528*M435</f>
        <v>47.202752960693125</v>
      </c>
      <c r="H435" s="308">
        <v>9.68</v>
      </c>
      <c r="I435" s="114">
        <f t="shared" si="102"/>
        <v>193.6</v>
      </c>
      <c r="J435" s="39"/>
      <c r="K435" s="187">
        <f t="shared" si="103"/>
        <v>3.804093880949939E-3</v>
      </c>
      <c r="L435" s="188">
        <f t="shared" si="104"/>
        <v>4.4761373670875924E-2</v>
      </c>
      <c r="M435" s="189">
        <f t="shared" si="105"/>
        <v>1.9301128937577192E-4</v>
      </c>
      <c r="N435" s="190">
        <f t="shared" si="106"/>
        <v>2.2710928585939873E-3</v>
      </c>
      <c r="O435" s="39"/>
      <c r="P435" s="262">
        <v>0</v>
      </c>
      <c r="Q435" s="510"/>
      <c r="R435" s="262">
        <v>0</v>
      </c>
      <c r="S435" s="510"/>
      <c r="T435" s="262">
        <v>0</v>
      </c>
      <c r="U435" s="521"/>
      <c r="V435" s="262">
        <v>0</v>
      </c>
      <c r="W435" s="510"/>
      <c r="X435" s="262">
        <v>0</v>
      </c>
      <c r="Y435" s="510"/>
    </row>
    <row r="436" spans="1:25" ht="12" customHeight="1">
      <c r="B436" s="182">
        <v>19121</v>
      </c>
      <c r="C436" s="96" t="s">
        <v>1104</v>
      </c>
      <c r="D436" s="97">
        <v>1</v>
      </c>
      <c r="E436" s="350" t="s">
        <v>1077</v>
      </c>
      <c r="F436" s="339">
        <f t="shared" si="91"/>
        <v>42.816505410265087</v>
      </c>
      <c r="G436" s="372">
        <f>I528*M436</f>
        <v>42.816505410265087</v>
      </c>
      <c r="H436" s="308">
        <v>175.61</v>
      </c>
      <c r="I436" s="114">
        <f t="shared" si="102"/>
        <v>175.61</v>
      </c>
      <c r="J436" s="39"/>
      <c r="K436" s="187">
        <f t="shared" si="103"/>
        <v>3.4506039588513373E-3</v>
      </c>
      <c r="L436" s="188">
        <f t="shared" si="104"/>
        <v>4.821197762972726E-2</v>
      </c>
      <c r="M436" s="189">
        <f t="shared" si="105"/>
        <v>1.7507599445908736E-4</v>
      </c>
      <c r="N436" s="190">
        <f t="shared" si="106"/>
        <v>2.4461688530530747E-3</v>
      </c>
      <c r="O436" s="39"/>
      <c r="P436" s="262">
        <v>0</v>
      </c>
      <c r="Q436" s="510"/>
      <c r="R436" s="262">
        <v>0</v>
      </c>
      <c r="S436" s="510"/>
      <c r="T436" s="262">
        <v>0</v>
      </c>
      <c r="U436" s="521"/>
      <c r="V436" s="262">
        <v>0</v>
      </c>
      <c r="W436" s="510"/>
      <c r="X436" s="262">
        <v>0</v>
      </c>
      <c r="Y436" s="510"/>
    </row>
    <row r="437" spans="1:25" ht="12" customHeight="1">
      <c r="B437" s="182">
        <v>19122</v>
      </c>
      <c r="C437" s="96" t="s">
        <v>1105</v>
      </c>
      <c r="D437" s="97">
        <v>1</v>
      </c>
      <c r="E437" s="350" t="s">
        <v>1078</v>
      </c>
      <c r="F437" s="339">
        <f t="shared" si="91"/>
        <v>13.775596809293191</v>
      </c>
      <c r="G437" s="372">
        <f>I528*M437</f>
        <v>13.775596809293191</v>
      </c>
      <c r="H437" s="308">
        <v>56.5</v>
      </c>
      <c r="I437" s="114">
        <f t="shared" si="102"/>
        <v>56.5</v>
      </c>
      <c r="J437" s="39"/>
      <c r="K437" s="187">
        <f t="shared" si="103"/>
        <v>1.1101823567854936E-3</v>
      </c>
      <c r="L437" s="188">
        <f t="shared" si="104"/>
        <v>4.9322159986512751E-2</v>
      </c>
      <c r="M437" s="189">
        <f t="shared" si="105"/>
        <v>5.632819137257807E-5</v>
      </c>
      <c r="N437" s="190">
        <f t="shared" si="106"/>
        <v>2.5024970444256526E-3</v>
      </c>
      <c r="O437" s="39"/>
      <c r="P437" s="262">
        <v>0</v>
      </c>
      <c r="Q437" s="510"/>
      <c r="R437" s="262">
        <v>0</v>
      </c>
      <c r="S437" s="510"/>
      <c r="T437" s="262">
        <v>0</v>
      </c>
      <c r="U437" s="521"/>
      <c r="V437" s="262">
        <v>0</v>
      </c>
      <c r="W437" s="510"/>
      <c r="X437" s="262">
        <v>0</v>
      </c>
      <c r="Y437" s="510"/>
    </row>
    <row r="438" spans="1:25" ht="12" customHeight="1">
      <c r="B438" s="182">
        <v>19123</v>
      </c>
      <c r="C438" s="96" t="s">
        <v>1106</v>
      </c>
      <c r="D438" s="97">
        <v>12</v>
      </c>
      <c r="E438" s="350" t="s">
        <v>1079</v>
      </c>
      <c r="F438" s="339">
        <f t="shared" si="91"/>
        <v>2.3601376480346561</v>
      </c>
      <c r="G438" s="372">
        <f>I528*M438</f>
        <v>28.321651776415873</v>
      </c>
      <c r="H438" s="308">
        <v>9.68</v>
      </c>
      <c r="I438" s="114">
        <f t="shared" si="102"/>
        <v>116.16</v>
      </c>
      <c r="J438" s="39"/>
      <c r="K438" s="187">
        <f t="shared" si="103"/>
        <v>2.2824563285699633E-3</v>
      </c>
      <c r="L438" s="188">
        <f t="shared" si="104"/>
        <v>5.1604616315082716E-2</v>
      </c>
      <c r="M438" s="189">
        <f t="shared" si="105"/>
        <v>1.1580677362546315E-4</v>
      </c>
      <c r="N438" s="190">
        <f t="shared" si="106"/>
        <v>2.6183038180511158E-3</v>
      </c>
      <c r="O438" s="39"/>
      <c r="P438" s="262">
        <v>0</v>
      </c>
      <c r="Q438" s="510"/>
      <c r="R438" s="262">
        <v>0</v>
      </c>
      <c r="S438" s="510"/>
      <c r="T438" s="262">
        <v>0</v>
      </c>
      <c r="U438" s="521"/>
      <c r="V438" s="262">
        <v>0</v>
      </c>
      <c r="W438" s="510"/>
      <c r="X438" s="262">
        <v>0</v>
      </c>
      <c r="Y438" s="510"/>
    </row>
    <row r="439" spans="1:25" ht="12" customHeight="1">
      <c r="B439" s="182">
        <v>19124</v>
      </c>
      <c r="C439" s="96" t="s">
        <v>1107</v>
      </c>
      <c r="D439" s="97">
        <v>1</v>
      </c>
      <c r="E439" s="350" t="s">
        <v>1080</v>
      </c>
      <c r="F439" s="339">
        <f t="shared" si="91"/>
        <v>42.816505410265087</v>
      </c>
      <c r="G439" s="372">
        <f>I528*M439</f>
        <v>42.816505410265087</v>
      </c>
      <c r="H439" s="308">
        <v>175.61</v>
      </c>
      <c r="I439" s="114">
        <f t="shared" si="102"/>
        <v>175.61</v>
      </c>
      <c r="J439" s="39"/>
      <c r="K439" s="187">
        <f t="shared" si="103"/>
        <v>3.4506039588513373E-3</v>
      </c>
      <c r="L439" s="188">
        <f t="shared" si="104"/>
        <v>5.5055220273934051E-2</v>
      </c>
      <c r="M439" s="189">
        <f t="shared" si="105"/>
        <v>1.7507599445908736E-4</v>
      </c>
      <c r="N439" s="190">
        <f t="shared" si="106"/>
        <v>2.7933798125102031E-3</v>
      </c>
      <c r="O439" s="39"/>
      <c r="P439" s="262">
        <v>0</v>
      </c>
      <c r="Q439" s="510"/>
      <c r="R439" s="262">
        <v>0</v>
      </c>
      <c r="S439" s="510"/>
      <c r="T439" s="262">
        <v>0</v>
      </c>
      <c r="U439" s="521"/>
      <c r="V439" s="262">
        <v>0</v>
      </c>
      <c r="W439" s="510"/>
      <c r="X439" s="262">
        <v>0</v>
      </c>
      <c r="Y439" s="510"/>
    </row>
    <row r="440" spans="1:25" ht="12" customHeight="1">
      <c r="B440" s="182">
        <v>19125</v>
      </c>
      <c r="C440" s="96" t="s">
        <v>1108</v>
      </c>
      <c r="D440" s="97">
        <v>1</v>
      </c>
      <c r="E440" s="350" t="s">
        <v>1081</v>
      </c>
      <c r="F440" s="339">
        <f t="shared" si="91"/>
        <v>12.897859667462118</v>
      </c>
      <c r="G440" s="372">
        <f>I528*M440</f>
        <v>12.897859667462118</v>
      </c>
      <c r="H440" s="308">
        <v>52.9</v>
      </c>
      <c r="I440" s="114">
        <f t="shared" si="102"/>
        <v>52.9</v>
      </c>
      <c r="J440" s="39"/>
      <c r="K440" s="187">
        <f t="shared" si="103"/>
        <v>1.0394450738752674E-3</v>
      </c>
      <c r="L440" s="188">
        <f t="shared" si="104"/>
        <v>5.6094665347809318E-2</v>
      </c>
      <c r="M440" s="189">
        <f t="shared" si="105"/>
        <v>5.273913847096247E-5</v>
      </c>
      <c r="N440" s="190">
        <f t="shared" si="106"/>
        <v>2.8461189509811657E-3</v>
      </c>
      <c r="O440" s="39"/>
      <c r="P440" s="262">
        <v>0</v>
      </c>
      <c r="Q440" s="510"/>
      <c r="R440" s="262">
        <v>0</v>
      </c>
      <c r="S440" s="510"/>
      <c r="T440" s="262">
        <v>0</v>
      </c>
      <c r="U440" s="521"/>
      <c r="V440" s="262">
        <v>0</v>
      </c>
      <c r="W440" s="510"/>
      <c r="X440" s="262">
        <v>0</v>
      </c>
      <c r="Y440" s="510"/>
    </row>
    <row r="441" spans="1:25" ht="12" customHeight="1">
      <c r="B441" s="182">
        <v>19126</v>
      </c>
      <c r="C441" s="96" t="s">
        <v>1109</v>
      </c>
      <c r="D441" s="97">
        <v>12</v>
      </c>
      <c r="E441" s="350" t="s">
        <v>1084</v>
      </c>
      <c r="F441" s="339">
        <f t="shared" si="91"/>
        <v>2.3601376480346561</v>
      </c>
      <c r="G441" s="372">
        <f>I528*M441</f>
        <v>28.321651776415873</v>
      </c>
      <c r="H441" s="308">
        <v>9.68</v>
      </c>
      <c r="I441" s="114">
        <f t="shared" si="102"/>
        <v>116.16</v>
      </c>
      <c r="J441" s="39"/>
      <c r="K441" s="187">
        <f t="shared" si="103"/>
        <v>2.2824563285699633E-3</v>
      </c>
      <c r="L441" s="188">
        <f t="shared" si="104"/>
        <v>5.8377121676379283E-2</v>
      </c>
      <c r="M441" s="189">
        <f t="shared" si="105"/>
        <v>1.1580677362546315E-4</v>
      </c>
      <c r="N441" s="190">
        <f t="shared" si="106"/>
        <v>2.9619257246066288E-3</v>
      </c>
      <c r="O441" s="39"/>
      <c r="P441" s="262">
        <v>0</v>
      </c>
      <c r="Q441" s="510"/>
      <c r="R441" s="262">
        <v>0</v>
      </c>
      <c r="S441" s="510"/>
      <c r="T441" s="262">
        <v>0</v>
      </c>
      <c r="U441" s="521"/>
      <c r="V441" s="262">
        <v>0</v>
      </c>
      <c r="W441" s="510"/>
      <c r="X441" s="262">
        <v>0</v>
      </c>
      <c r="Y441" s="510"/>
    </row>
    <row r="442" spans="1:25" ht="12" customHeight="1">
      <c r="B442" s="182">
        <v>19127</v>
      </c>
      <c r="C442" s="96" t="s">
        <v>1110</v>
      </c>
      <c r="D442" s="97">
        <v>1</v>
      </c>
      <c r="E442" s="350" t="s">
        <v>1085</v>
      </c>
      <c r="F442" s="339">
        <f t="shared" si="91"/>
        <v>115.10791167496298</v>
      </c>
      <c r="G442" s="372">
        <f>I528*M442</f>
        <v>115.10791167496298</v>
      </c>
      <c r="H442" s="308">
        <v>472.11</v>
      </c>
      <c r="I442" s="114">
        <f t="shared" si="102"/>
        <v>472.11</v>
      </c>
      <c r="J442" s="39"/>
      <c r="K442" s="187">
        <f t="shared" si="103"/>
        <v>9.2766051763185746E-3</v>
      </c>
      <c r="L442" s="188">
        <f t="shared" si="104"/>
        <v>6.7653726852697854E-2</v>
      </c>
      <c r="M442" s="189">
        <f t="shared" si="105"/>
        <v>4.7067437927270501E-4</v>
      </c>
      <c r="N442" s="190">
        <f t="shared" si="106"/>
        <v>3.432600103879334E-3</v>
      </c>
      <c r="O442" s="39"/>
      <c r="P442" s="262">
        <v>0</v>
      </c>
      <c r="Q442" s="510"/>
      <c r="R442" s="262">
        <v>0</v>
      </c>
      <c r="S442" s="510"/>
      <c r="T442" s="262">
        <v>0</v>
      </c>
      <c r="U442" s="521"/>
      <c r="V442" s="262">
        <v>0</v>
      </c>
      <c r="W442" s="510"/>
      <c r="X442" s="262">
        <v>0</v>
      </c>
      <c r="Y442" s="510"/>
    </row>
    <row r="443" spans="1:25" ht="12" customHeight="1">
      <c r="B443" s="182">
        <v>19128</v>
      </c>
      <c r="C443" s="96" t="s">
        <v>1111</v>
      </c>
      <c r="D443" s="97">
        <v>1</v>
      </c>
      <c r="E443" s="350" t="s">
        <v>1086</v>
      </c>
      <c r="F443" s="339">
        <f t="shared" si="91"/>
        <v>34.356094626504486</v>
      </c>
      <c r="G443" s="372">
        <f>I528*M443</f>
        <v>34.356094626504486</v>
      </c>
      <c r="H443" s="308">
        <v>140.91</v>
      </c>
      <c r="I443" s="114">
        <f t="shared" si="102"/>
        <v>140.91</v>
      </c>
      <c r="J443" s="39"/>
      <c r="K443" s="187">
        <f t="shared" si="103"/>
        <v>2.7687751485777684E-3</v>
      </c>
      <c r="L443" s="188">
        <f t="shared" si="104"/>
        <v>7.0422502001275616E-2</v>
      </c>
      <c r="M443" s="189">
        <f t="shared" si="105"/>
        <v>1.4048151232407037E-4</v>
      </c>
      <c r="N443" s="190">
        <f t="shared" si="106"/>
        <v>3.5730816162034044E-3</v>
      </c>
      <c r="O443" s="39"/>
      <c r="P443" s="262">
        <v>0</v>
      </c>
      <c r="Q443" s="510"/>
      <c r="R443" s="262">
        <v>0</v>
      </c>
      <c r="S443" s="510"/>
      <c r="T443" s="262">
        <v>0</v>
      </c>
      <c r="U443" s="521"/>
      <c r="V443" s="262">
        <v>0</v>
      </c>
      <c r="W443" s="510"/>
      <c r="X443" s="262">
        <v>0</v>
      </c>
      <c r="Y443" s="510"/>
    </row>
    <row r="444" spans="1:25" ht="12" customHeight="1">
      <c r="B444" s="182">
        <v>19129</v>
      </c>
      <c r="C444" s="96" t="s">
        <v>1112</v>
      </c>
      <c r="D444" s="97">
        <v>24</v>
      </c>
      <c r="E444" s="350" t="s">
        <v>1087</v>
      </c>
      <c r="F444" s="339">
        <f t="shared" si="91"/>
        <v>1.9407743469375891</v>
      </c>
      <c r="G444" s="372">
        <f>I528*M444</f>
        <v>46.578584326502138</v>
      </c>
      <c r="H444" s="308">
        <v>7.96</v>
      </c>
      <c r="I444" s="114">
        <f t="shared" si="102"/>
        <v>191.04</v>
      </c>
      <c r="J444" s="39"/>
      <c r="K444" s="187">
        <f t="shared" si="103"/>
        <v>3.753791813102667E-3</v>
      </c>
      <c r="L444" s="188">
        <f t="shared" si="104"/>
        <v>7.4176293814378277E-2</v>
      </c>
      <c r="M444" s="189">
        <f t="shared" si="105"/>
        <v>1.904590739790675E-4</v>
      </c>
      <c r="N444" s="190">
        <f t="shared" si="106"/>
        <v>3.7635406901824721E-3</v>
      </c>
      <c r="O444" s="39"/>
      <c r="P444" s="262">
        <v>0</v>
      </c>
      <c r="Q444" s="510"/>
      <c r="R444" s="262">
        <v>0</v>
      </c>
      <c r="S444" s="510"/>
      <c r="T444" s="262">
        <v>0</v>
      </c>
      <c r="U444" s="521"/>
      <c r="V444" s="262">
        <v>0</v>
      </c>
      <c r="W444" s="510"/>
      <c r="X444" s="262">
        <v>0</v>
      </c>
      <c r="Y444" s="510"/>
    </row>
    <row r="445" spans="1:25" ht="12" customHeight="1">
      <c r="B445" s="182">
        <v>19130</v>
      </c>
      <c r="C445" s="96" t="s">
        <v>1088</v>
      </c>
      <c r="D445" s="97">
        <v>1</v>
      </c>
      <c r="E445" s="350" t="s">
        <v>1089</v>
      </c>
      <c r="F445" s="345">
        <f t="shared" si="91"/>
        <v>0</v>
      </c>
      <c r="G445" s="372">
        <v>0</v>
      </c>
      <c r="H445" s="308">
        <v>47117.52</v>
      </c>
      <c r="I445" s="114">
        <f t="shared" si="102"/>
        <v>47117.52</v>
      </c>
      <c r="J445" s="39"/>
      <c r="K445" s="187">
        <f t="shared" si="103"/>
        <v>0.92582370618562171</v>
      </c>
      <c r="L445" s="188">
        <f t="shared" si="104"/>
        <v>1</v>
      </c>
      <c r="M445" s="189">
        <f t="shared" si="105"/>
        <v>4.6974242186925211E-2</v>
      </c>
      <c r="N445" s="191">
        <f t="shared" si="106"/>
        <v>5.073778287710768E-2</v>
      </c>
      <c r="O445" s="39"/>
      <c r="P445" s="262">
        <v>0</v>
      </c>
      <c r="Q445" s="511"/>
      <c r="R445" s="262">
        <v>0</v>
      </c>
      <c r="S445" s="511"/>
      <c r="T445" s="262">
        <v>0</v>
      </c>
      <c r="U445" s="522"/>
      <c r="V445" s="262">
        <v>0</v>
      </c>
      <c r="W445" s="511"/>
      <c r="X445" s="262">
        <v>0</v>
      </c>
      <c r="Y445" s="511"/>
    </row>
    <row r="446" spans="1:25" ht="12" customHeight="1">
      <c r="A446" s="291" t="s">
        <v>70</v>
      </c>
      <c r="B446" s="158"/>
      <c r="C446" s="159" t="s">
        <v>589</v>
      </c>
      <c r="D446" s="160"/>
      <c r="E446" s="359"/>
      <c r="F446" s="394">
        <f>+G446/D$3</f>
        <v>3.4478203242760386</v>
      </c>
      <c r="G446" s="377">
        <f>SUM(G447:G480)</f>
        <v>3174.7874327966188</v>
      </c>
      <c r="H446" s="313"/>
      <c r="I446" s="161">
        <f>SUM(I447:I480)</f>
        <v>13021.25</v>
      </c>
      <c r="J446" s="39"/>
      <c r="K446" s="552" t="str">
        <f>+C446</f>
        <v>Posto de Trasnformação</v>
      </c>
      <c r="L446" s="553"/>
      <c r="M446" s="170">
        <f t="shared" si="105"/>
        <v>1.2981654193100569E-2</v>
      </c>
      <c r="N446" s="171"/>
      <c r="O446" s="38"/>
      <c r="P446" s="261">
        <f>SUMPRODUCT( P447:P480,$M$447:$M$480)</f>
        <v>0</v>
      </c>
      <c r="Q446" s="510">
        <f>+P446/$M$446</f>
        <v>0</v>
      </c>
      <c r="R446" s="261">
        <f>SUMPRODUCT( R447:R480,$M$447:$M$480)</f>
        <v>0</v>
      </c>
      <c r="S446" s="510">
        <f>+R446/$M$446</f>
        <v>0</v>
      </c>
      <c r="T446" s="261">
        <f>SUMPRODUCT( T447:T480,$M$447:$M$480)</f>
        <v>1.2981654193100569E-2</v>
      </c>
      <c r="U446" s="521">
        <f>+T446/$M$446</f>
        <v>1</v>
      </c>
      <c r="V446" s="261">
        <f>SUMPRODUCT( V447:V480,$M$447:$M$480)</f>
        <v>1.2981654193100569E-2</v>
      </c>
      <c r="W446" s="510">
        <f>+V446/$M$446</f>
        <v>1</v>
      </c>
      <c r="X446" s="261">
        <f>SUMPRODUCT( X447:X480,$M$447:$M$480)</f>
        <v>1.2981654193100569E-2</v>
      </c>
      <c r="Y446" s="510">
        <f>+X446/$M$446</f>
        <v>1</v>
      </c>
    </row>
    <row r="447" spans="1:25" ht="12" customHeight="1">
      <c r="B447" s="182">
        <v>19131</v>
      </c>
      <c r="C447" s="96" t="s">
        <v>1113</v>
      </c>
      <c r="D447" s="97">
        <v>1</v>
      </c>
      <c r="E447" s="350" t="s">
        <v>1114</v>
      </c>
      <c r="F447" s="346">
        <f t="shared" si="91"/>
        <v>1251.4654260291036</v>
      </c>
      <c r="G447" s="372">
        <f>I528*M447</f>
        <v>1251.4654260291036</v>
      </c>
      <c r="H447" s="308">
        <v>5132.83</v>
      </c>
      <c r="I447" s="114">
        <f t="shared" ref="I447:I480" si="107">$D447*$H447</f>
        <v>5132.83</v>
      </c>
      <c r="J447" s="39"/>
      <c r="K447" s="187">
        <f>+I447/$I$446</f>
        <v>0.39418872996064125</v>
      </c>
      <c r="L447" s="188">
        <f>+K447</f>
        <v>0.39418872996064125</v>
      </c>
      <c r="M447" s="189">
        <f t="shared" si="105"/>
        <v>5.1172217791665463E-3</v>
      </c>
      <c r="N447" s="190">
        <f>+M447</f>
        <v>5.1172217791665463E-3</v>
      </c>
      <c r="O447" s="39"/>
      <c r="P447" s="262">
        <v>0</v>
      </c>
      <c r="Q447" s="510"/>
      <c r="R447" s="262">
        <v>0</v>
      </c>
      <c r="S447" s="510"/>
      <c r="T447" s="262">
        <v>1</v>
      </c>
      <c r="U447" s="521"/>
      <c r="V447" s="262">
        <v>1</v>
      </c>
      <c r="W447" s="510"/>
      <c r="X447" s="262">
        <v>1</v>
      </c>
      <c r="Y447" s="510"/>
    </row>
    <row r="448" spans="1:25" ht="12" customHeight="1">
      <c r="B448" s="182">
        <v>19132</v>
      </c>
      <c r="C448" s="96" t="s">
        <v>1115</v>
      </c>
      <c r="D448" s="97">
        <v>1</v>
      </c>
      <c r="E448" s="350" t="s">
        <v>1116</v>
      </c>
      <c r="F448" s="339">
        <f t="shared" si="91"/>
        <v>203.31805627025824</v>
      </c>
      <c r="G448" s="372">
        <f>I528*M448</f>
        <v>203.31805627025824</v>
      </c>
      <c r="H448" s="308">
        <v>833.9</v>
      </c>
      <c r="I448" s="114">
        <f t="shared" si="107"/>
        <v>833.9</v>
      </c>
      <c r="J448" s="39"/>
      <c r="K448" s="187">
        <f>+I448/$I$446</f>
        <v>6.4041470672938458E-2</v>
      </c>
      <c r="L448" s="188">
        <f>+L447+K448</f>
        <v>0.45823020063357972</v>
      </c>
      <c r="M448" s="189">
        <f t="shared" si="105"/>
        <v>8.313642262936788E-4</v>
      </c>
      <c r="N448" s="190">
        <f>+N447+M448</f>
        <v>5.9485860054602248E-3</v>
      </c>
      <c r="O448" s="39"/>
      <c r="P448" s="262">
        <v>0</v>
      </c>
      <c r="Q448" s="510"/>
      <c r="R448" s="262">
        <v>0</v>
      </c>
      <c r="S448" s="510"/>
      <c r="T448" s="262">
        <v>1</v>
      </c>
      <c r="U448" s="521"/>
      <c r="V448" s="262">
        <v>1</v>
      </c>
      <c r="W448" s="510"/>
      <c r="X448" s="262">
        <v>1</v>
      </c>
      <c r="Y448" s="510"/>
    </row>
    <row r="449" spans="2:25" ht="12" customHeight="1">
      <c r="B449" s="182">
        <v>19133</v>
      </c>
      <c r="C449" s="96" t="s">
        <v>1117</v>
      </c>
      <c r="D449" s="97">
        <v>3</v>
      </c>
      <c r="E449" s="350" t="s">
        <v>1118</v>
      </c>
      <c r="F449" s="339">
        <f t="shared" si="91"/>
        <v>36.777186242721847</v>
      </c>
      <c r="G449" s="372">
        <f>I528*M449</f>
        <v>110.33155872816555</v>
      </c>
      <c r="H449" s="308">
        <v>150.84</v>
      </c>
      <c r="I449" s="114">
        <f t="shared" si="107"/>
        <v>452.52</v>
      </c>
      <c r="J449" s="39"/>
      <c r="K449" s="187">
        <f t="shared" ref="K449:K479" si="108">+I449/$I$446</f>
        <v>3.4752423922434481E-2</v>
      </c>
      <c r="L449" s="188">
        <f t="shared" ref="L449:L479" si="109">+L448+K449</f>
        <v>0.49298262455601422</v>
      </c>
      <c r="M449" s="189">
        <f t="shared" ref="M449:M483" si="110">+I449/$I$514</f>
        <v>4.5114394973308009E-4</v>
      </c>
      <c r="N449" s="190">
        <f t="shared" ref="N449:N479" si="111">+N448+M449</f>
        <v>6.3997299551933045E-3</v>
      </c>
      <c r="O449" s="39"/>
      <c r="P449" s="262">
        <v>0</v>
      </c>
      <c r="Q449" s="510"/>
      <c r="R449" s="262">
        <v>0</v>
      </c>
      <c r="S449" s="510"/>
      <c r="T449" s="262">
        <v>1</v>
      </c>
      <c r="U449" s="521"/>
      <c r="V449" s="262">
        <v>1</v>
      </c>
      <c r="W449" s="510"/>
      <c r="X449" s="262">
        <v>1</v>
      </c>
      <c r="Y449" s="510"/>
    </row>
    <row r="450" spans="2:25" ht="12" customHeight="1">
      <c r="B450" s="182">
        <v>19134</v>
      </c>
      <c r="C450" s="96" t="s">
        <v>1119</v>
      </c>
      <c r="D450" s="97">
        <v>3</v>
      </c>
      <c r="E450" s="350" t="s">
        <v>1120</v>
      </c>
      <c r="F450" s="339">
        <f t="shared" si="91"/>
        <v>16.401493758604477</v>
      </c>
      <c r="G450" s="372">
        <f>I528*M450</f>
        <v>49.204481275813428</v>
      </c>
      <c r="H450" s="308">
        <v>67.27</v>
      </c>
      <c r="I450" s="114">
        <f t="shared" si="107"/>
        <v>201.81</v>
      </c>
      <c r="J450" s="39"/>
      <c r="K450" s="187">
        <f t="shared" si="108"/>
        <v>1.5498512047614477E-2</v>
      </c>
      <c r="L450" s="188">
        <f t="shared" si="109"/>
        <v>0.5084811366036287</v>
      </c>
      <c r="M450" s="189">
        <f t="shared" si="110"/>
        <v>2.0119632390973416E-4</v>
      </c>
      <c r="N450" s="190">
        <f t="shared" si="111"/>
        <v>6.6009262791030384E-3</v>
      </c>
      <c r="O450" s="39"/>
      <c r="P450" s="262">
        <v>0</v>
      </c>
      <c r="Q450" s="510"/>
      <c r="R450" s="262">
        <v>0</v>
      </c>
      <c r="S450" s="510"/>
      <c r="T450" s="262">
        <v>1</v>
      </c>
      <c r="U450" s="521"/>
      <c r="V450" s="262">
        <v>1</v>
      </c>
      <c r="W450" s="510"/>
      <c r="X450" s="262">
        <v>1</v>
      </c>
      <c r="Y450" s="510"/>
    </row>
    <row r="451" spans="2:25" ht="12" customHeight="1">
      <c r="B451" s="182">
        <v>19135</v>
      </c>
      <c r="C451" s="96" t="s">
        <v>1121</v>
      </c>
      <c r="D451" s="97">
        <v>9</v>
      </c>
      <c r="E451" s="350" t="s">
        <v>1122</v>
      </c>
      <c r="F451" s="339">
        <f t="shared" si="91"/>
        <v>7.2876564359251939</v>
      </c>
      <c r="G451" s="372">
        <f>I528*M451</f>
        <v>65.588907923326744</v>
      </c>
      <c r="H451" s="308">
        <v>29.89</v>
      </c>
      <c r="I451" s="114">
        <f t="shared" si="107"/>
        <v>269.01</v>
      </c>
      <c r="J451" s="39"/>
      <c r="K451" s="187">
        <f t="shared" si="108"/>
        <v>2.0659306902179129E-2</v>
      </c>
      <c r="L451" s="188">
        <f t="shared" si="109"/>
        <v>0.5291404435058078</v>
      </c>
      <c r="M451" s="189">
        <f t="shared" si="110"/>
        <v>2.6819197807322526E-4</v>
      </c>
      <c r="N451" s="190">
        <f t="shared" si="111"/>
        <v>6.8691182571762634E-3</v>
      </c>
      <c r="O451" s="39"/>
      <c r="P451" s="262">
        <v>0</v>
      </c>
      <c r="Q451" s="510"/>
      <c r="R451" s="262">
        <v>0</v>
      </c>
      <c r="S451" s="510"/>
      <c r="T451" s="262">
        <v>1</v>
      </c>
      <c r="U451" s="521"/>
      <c r="V451" s="262">
        <v>1</v>
      </c>
      <c r="W451" s="510"/>
      <c r="X451" s="262">
        <v>1</v>
      </c>
      <c r="Y451" s="510"/>
    </row>
    <row r="452" spans="2:25" ht="12" customHeight="1">
      <c r="B452" s="182">
        <v>19136</v>
      </c>
      <c r="C452" s="96" t="s">
        <v>1123</v>
      </c>
      <c r="D452" s="97">
        <v>2</v>
      </c>
      <c r="E452" s="350" t="s">
        <v>1124</v>
      </c>
      <c r="F452" s="339">
        <f t="shared" si="91"/>
        <v>17.708346836441848</v>
      </c>
      <c r="G452" s="372">
        <f>I528*M452</f>
        <v>35.416693672883696</v>
      </c>
      <c r="H452" s="308">
        <v>72.63</v>
      </c>
      <c r="I452" s="114">
        <f t="shared" si="107"/>
        <v>145.26</v>
      </c>
      <c r="J452" s="39"/>
      <c r="K452" s="187">
        <f t="shared" si="108"/>
        <v>1.1155611020447345E-2</v>
      </c>
      <c r="L452" s="188">
        <f t="shared" si="109"/>
        <v>0.54029605452625518</v>
      </c>
      <c r="M452" s="189">
        <f t="shared" si="110"/>
        <v>1.448182845801892E-4</v>
      </c>
      <c r="N452" s="190">
        <f t="shared" si="111"/>
        <v>7.0139365417564523E-3</v>
      </c>
      <c r="O452" s="39"/>
      <c r="P452" s="262">
        <v>0</v>
      </c>
      <c r="Q452" s="510"/>
      <c r="R452" s="262">
        <v>0</v>
      </c>
      <c r="S452" s="510"/>
      <c r="T452" s="262">
        <v>1</v>
      </c>
      <c r="U452" s="521"/>
      <c r="V452" s="262">
        <v>1</v>
      </c>
      <c r="W452" s="510"/>
      <c r="X452" s="262">
        <v>1</v>
      </c>
      <c r="Y452" s="510"/>
    </row>
    <row r="453" spans="2:25" ht="12" customHeight="1">
      <c r="B453" s="182">
        <v>19137</v>
      </c>
      <c r="C453" s="96" t="s">
        <v>1125</v>
      </c>
      <c r="D453" s="97">
        <v>6</v>
      </c>
      <c r="E453" s="350" t="s">
        <v>1126</v>
      </c>
      <c r="F453" s="339">
        <f t="shared" si="91"/>
        <v>2.0017283151203027</v>
      </c>
      <c r="G453" s="372">
        <f>I528*M453</f>
        <v>12.010369890721817</v>
      </c>
      <c r="H453" s="308">
        <v>8.2100000000000009</v>
      </c>
      <c r="I453" s="114">
        <f t="shared" si="107"/>
        <v>49.260000000000005</v>
      </c>
      <c r="J453" s="39"/>
      <c r="K453" s="187">
        <f t="shared" si="108"/>
        <v>3.7830469424978406E-3</v>
      </c>
      <c r="L453" s="188">
        <f t="shared" si="109"/>
        <v>0.54407910146875305</v>
      </c>
      <c r="M453" s="189">
        <f t="shared" si="110"/>
        <v>4.9110207203773381E-5</v>
      </c>
      <c r="N453" s="190">
        <f t="shared" si="111"/>
        <v>7.0630467489602253E-3</v>
      </c>
      <c r="O453" s="39"/>
      <c r="P453" s="262">
        <v>0</v>
      </c>
      <c r="Q453" s="510"/>
      <c r="R453" s="262">
        <v>0</v>
      </c>
      <c r="S453" s="510"/>
      <c r="T453" s="262">
        <v>1</v>
      </c>
      <c r="U453" s="521"/>
      <c r="V453" s="262">
        <v>1</v>
      </c>
      <c r="W453" s="510"/>
      <c r="X453" s="262">
        <v>1</v>
      </c>
      <c r="Y453" s="510"/>
    </row>
    <row r="454" spans="2:25" ht="12" customHeight="1">
      <c r="B454" s="182">
        <v>19138</v>
      </c>
      <c r="C454" s="96" t="s">
        <v>1127</v>
      </c>
      <c r="D454" s="97">
        <v>2</v>
      </c>
      <c r="E454" s="350" t="s">
        <v>1128</v>
      </c>
      <c r="F454" s="339">
        <f t="shared" si="91"/>
        <v>1.2458991096546586</v>
      </c>
      <c r="G454" s="372">
        <f>I528*M454</f>
        <v>2.4917982193093171</v>
      </c>
      <c r="H454" s="308">
        <v>5.1100000000000003</v>
      </c>
      <c r="I454" s="114">
        <f t="shared" si="107"/>
        <v>10.220000000000001</v>
      </c>
      <c r="J454" s="39"/>
      <c r="K454" s="187">
        <f t="shared" si="108"/>
        <v>7.8487088413170785E-4</v>
      </c>
      <c r="L454" s="188">
        <f t="shared" si="109"/>
        <v>0.54486397235288475</v>
      </c>
      <c r="M454" s="189">
        <f t="shared" si="110"/>
        <v>1.0188922404030937E-5</v>
      </c>
      <c r="N454" s="190">
        <f t="shared" si="111"/>
        <v>7.0732356713642565E-3</v>
      </c>
      <c r="O454" s="39"/>
      <c r="P454" s="262">
        <v>0</v>
      </c>
      <c r="Q454" s="510"/>
      <c r="R454" s="262">
        <v>0</v>
      </c>
      <c r="S454" s="510"/>
      <c r="T454" s="262">
        <v>1</v>
      </c>
      <c r="U454" s="521"/>
      <c r="V454" s="262">
        <v>1</v>
      </c>
      <c r="W454" s="510"/>
      <c r="X454" s="262">
        <v>1</v>
      </c>
      <c r="Y454" s="510"/>
    </row>
    <row r="455" spans="2:25" ht="12" customHeight="1">
      <c r="B455" s="182">
        <v>19139</v>
      </c>
      <c r="C455" s="96" t="s">
        <v>1129</v>
      </c>
      <c r="D455" s="97">
        <v>8</v>
      </c>
      <c r="E455" s="350" t="s">
        <v>1130</v>
      </c>
      <c r="F455" s="339">
        <f t="shared" ref="F455:F512" si="112">+G455/D455</f>
        <v>0.95332006237763489</v>
      </c>
      <c r="G455" s="372">
        <f>I528*M455</f>
        <v>7.6265604990210791</v>
      </c>
      <c r="H455" s="308">
        <v>3.91</v>
      </c>
      <c r="I455" s="114">
        <f t="shared" si="107"/>
        <v>31.28</v>
      </c>
      <c r="J455" s="39"/>
      <c r="K455" s="187">
        <f t="shared" si="108"/>
        <v>2.4022271287318805E-3</v>
      </c>
      <c r="L455" s="188">
        <f t="shared" si="109"/>
        <v>0.54726619948161659</v>
      </c>
      <c r="M455" s="189">
        <f t="shared" si="110"/>
        <v>3.1184881878482157E-5</v>
      </c>
      <c r="N455" s="190">
        <f t="shared" si="111"/>
        <v>7.1044205532427383E-3</v>
      </c>
      <c r="O455" s="39"/>
      <c r="P455" s="262">
        <v>0</v>
      </c>
      <c r="Q455" s="510"/>
      <c r="R455" s="262">
        <v>0</v>
      </c>
      <c r="S455" s="510"/>
      <c r="T455" s="262">
        <v>1</v>
      </c>
      <c r="U455" s="521"/>
      <c r="V455" s="262">
        <v>1</v>
      </c>
      <c r="W455" s="510"/>
      <c r="X455" s="262">
        <v>1</v>
      </c>
      <c r="Y455" s="510"/>
    </row>
    <row r="456" spans="2:25" ht="12" customHeight="1">
      <c r="B456" s="182">
        <v>19140</v>
      </c>
      <c r="C456" s="96" t="s">
        <v>1131</v>
      </c>
      <c r="D456" s="97">
        <v>4</v>
      </c>
      <c r="E456" s="350" t="s">
        <v>1132</v>
      </c>
      <c r="F456" s="339">
        <f t="shared" si="112"/>
        <v>0.91187136401338997</v>
      </c>
      <c r="G456" s="372">
        <f>I528*M456</f>
        <v>3.6474854560535599</v>
      </c>
      <c r="H456" s="308">
        <v>3.74</v>
      </c>
      <c r="I456" s="114">
        <f t="shared" si="107"/>
        <v>14.96</v>
      </c>
      <c r="J456" s="39"/>
      <c r="K456" s="187">
        <f t="shared" si="108"/>
        <v>1.1488912354804647E-3</v>
      </c>
      <c r="L456" s="188">
        <f t="shared" si="109"/>
        <v>0.54841509071709704</v>
      </c>
      <c r="M456" s="189">
        <f t="shared" si="110"/>
        <v>1.4914508724491469E-5</v>
      </c>
      <c r="N456" s="190">
        <f t="shared" si="111"/>
        <v>7.11933506196723E-3</v>
      </c>
      <c r="O456" s="39"/>
      <c r="P456" s="262">
        <v>0</v>
      </c>
      <c r="Q456" s="510"/>
      <c r="R456" s="262">
        <v>0</v>
      </c>
      <c r="S456" s="510"/>
      <c r="T456" s="262">
        <v>1</v>
      </c>
      <c r="U456" s="521"/>
      <c r="V456" s="262">
        <v>1</v>
      </c>
      <c r="W456" s="510"/>
      <c r="X456" s="262">
        <v>1</v>
      </c>
      <c r="Y456" s="510"/>
    </row>
    <row r="457" spans="2:25" ht="12" customHeight="1">
      <c r="B457" s="182">
        <v>19141</v>
      </c>
      <c r="C457" s="96" t="s">
        <v>1133</v>
      </c>
      <c r="D457" s="97">
        <v>9</v>
      </c>
      <c r="E457" s="350" t="s">
        <v>1134</v>
      </c>
      <c r="F457" s="339">
        <f t="shared" si="112"/>
        <v>2.5039890129458593</v>
      </c>
      <c r="G457" s="372">
        <f>I528*M457</f>
        <v>22.535901116512733</v>
      </c>
      <c r="H457" s="308">
        <v>10.27</v>
      </c>
      <c r="I457" s="114">
        <f t="shared" si="107"/>
        <v>92.429999999999993</v>
      </c>
      <c r="J457" s="39"/>
      <c r="K457" s="187">
        <f t="shared" si="108"/>
        <v>7.0983968513007581E-3</v>
      </c>
      <c r="L457" s="188">
        <f t="shared" si="109"/>
        <v>0.5555134875683978</v>
      </c>
      <c r="M457" s="189">
        <f t="shared" si="110"/>
        <v>9.2148933248980359E-5</v>
      </c>
      <c r="N457" s="190">
        <f t="shared" si="111"/>
        <v>7.2114839952162101E-3</v>
      </c>
      <c r="O457" s="39"/>
      <c r="P457" s="262">
        <v>0</v>
      </c>
      <c r="Q457" s="510"/>
      <c r="R457" s="262">
        <v>0</v>
      </c>
      <c r="S457" s="510"/>
      <c r="T457" s="262">
        <v>1</v>
      </c>
      <c r="U457" s="521"/>
      <c r="V457" s="262">
        <v>1</v>
      </c>
      <c r="W457" s="510"/>
      <c r="X457" s="262">
        <v>1</v>
      </c>
      <c r="Y457" s="510"/>
    </row>
    <row r="458" spans="2:25" ht="12" customHeight="1">
      <c r="B458" s="182">
        <v>19142</v>
      </c>
      <c r="C458" s="96" t="s">
        <v>1135</v>
      </c>
      <c r="D458" s="97">
        <v>30</v>
      </c>
      <c r="E458" s="350" t="s">
        <v>1136</v>
      </c>
      <c r="F458" s="339">
        <f t="shared" si="112"/>
        <v>0.49250806291632288</v>
      </c>
      <c r="G458" s="372">
        <f>I528*M458</f>
        <v>14.775241887489686</v>
      </c>
      <c r="H458" s="308">
        <v>2.02</v>
      </c>
      <c r="I458" s="114">
        <f t="shared" si="107"/>
        <v>60.6</v>
      </c>
      <c r="J458" s="39"/>
      <c r="K458" s="187">
        <f t="shared" si="108"/>
        <v>4.6539310742056252E-3</v>
      </c>
      <c r="L458" s="188">
        <f t="shared" si="109"/>
        <v>0.56016741864260344</v>
      </c>
      <c r="M458" s="189">
        <f t="shared" si="110"/>
        <v>6.0415723843862497E-5</v>
      </c>
      <c r="N458" s="190">
        <f t="shared" si="111"/>
        <v>7.2718997190600728E-3</v>
      </c>
      <c r="O458" s="39"/>
      <c r="P458" s="262">
        <v>0</v>
      </c>
      <c r="Q458" s="510"/>
      <c r="R458" s="262">
        <v>0</v>
      </c>
      <c r="S458" s="510"/>
      <c r="T458" s="262">
        <v>1</v>
      </c>
      <c r="U458" s="521"/>
      <c r="V458" s="262">
        <v>1</v>
      </c>
      <c r="W458" s="510"/>
      <c r="X458" s="262">
        <v>1</v>
      </c>
      <c r="Y458" s="510"/>
    </row>
    <row r="459" spans="2:25" ht="12" customHeight="1">
      <c r="B459" s="182">
        <v>19143</v>
      </c>
      <c r="C459" s="96" t="s">
        <v>1137</v>
      </c>
      <c r="D459" s="97">
        <v>6</v>
      </c>
      <c r="E459" s="350" t="s">
        <v>1138</v>
      </c>
      <c r="F459" s="339">
        <f t="shared" si="112"/>
        <v>0.91187136401338986</v>
      </c>
      <c r="G459" s="372">
        <f>I528*M459</f>
        <v>5.4712281840803394</v>
      </c>
      <c r="H459" s="308">
        <v>3.74</v>
      </c>
      <c r="I459" s="114">
        <f t="shared" si="107"/>
        <v>22.44</v>
      </c>
      <c r="J459" s="39"/>
      <c r="K459" s="187">
        <f t="shared" si="108"/>
        <v>1.723336853220697E-3</v>
      </c>
      <c r="L459" s="188">
        <f t="shared" si="109"/>
        <v>0.56189075549582412</v>
      </c>
      <c r="M459" s="189">
        <f t="shared" si="110"/>
        <v>2.2371763086737201E-5</v>
      </c>
      <c r="N459" s="190">
        <f t="shared" si="111"/>
        <v>7.2942714821468101E-3</v>
      </c>
      <c r="O459" s="39"/>
      <c r="P459" s="262">
        <v>0</v>
      </c>
      <c r="Q459" s="510"/>
      <c r="R459" s="262">
        <v>0</v>
      </c>
      <c r="S459" s="510"/>
      <c r="T459" s="262">
        <v>1</v>
      </c>
      <c r="U459" s="521"/>
      <c r="V459" s="262">
        <v>1</v>
      </c>
      <c r="W459" s="510"/>
      <c r="X459" s="262">
        <v>1</v>
      </c>
      <c r="Y459" s="510"/>
    </row>
    <row r="460" spans="2:25" ht="12" customHeight="1">
      <c r="B460" s="182">
        <v>19144</v>
      </c>
      <c r="C460" s="96" t="s">
        <v>1139</v>
      </c>
      <c r="D460" s="97">
        <v>3</v>
      </c>
      <c r="E460" s="350" t="s">
        <v>1140</v>
      </c>
      <c r="F460" s="339">
        <f t="shared" si="112"/>
        <v>3.2573800596841949</v>
      </c>
      <c r="G460" s="372">
        <f>I528*M460</f>
        <v>9.7721401790525846</v>
      </c>
      <c r="H460" s="308">
        <v>13.36</v>
      </c>
      <c r="I460" s="114">
        <f t="shared" si="107"/>
        <v>40.08</v>
      </c>
      <c r="J460" s="39"/>
      <c r="K460" s="187">
        <f t="shared" si="108"/>
        <v>3.0780455025439185E-3</v>
      </c>
      <c r="L460" s="188">
        <f t="shared" si="109"/>
        <v>0.56496880099836799</v>
      </c>
      <c r="M460" s="189">
        <f t="shared" si="110"/>
        <v>3.9958122304653607E-5</v>
      </c>
      <c r="N460" s="190">
        <f t="shared" si="111"/>
        <v>7.334229604451464E-3</v>
      </c>
      <c r="O460" s="39"/>
      <c r="P460" s="262">
        <v>0</v>
      </c>
      <c r="Q460" s="510"/>
      <c r="R460" s="262">
        <v>0</v>
      </c>
      <c r="S460" s="510"/>
      <c r="T460" s="262">
        <v>1</v>
      </c>
      <c r="U460" s="521"/>
      <c r="V460" s="262">
        <v>1</v>
      </c>
      <c r="W460" s="510"/>
      <c r="X460" s="262">
        <v>1</v>
      </c>
      <c r="Y460" s="510"/>
    </row>
    <row r="461" spans="2:25" ht="12" customHeight="1">
      <c r="B461" s="182">
        <v>19145</v>
      </c>
      <c r="C461" s="96" t="s">
        <v>1141</v>
      </c>
      <c r="D461" s="97">
        <v>1</v>
      </c>
      <c r="E461" s="350" t="s">
        <v>1142</v>
      </c>
      <c r="F461" s="339">
        <f t="shared" si="112"/>
        <v>34.631606562690351</v>
      </c>
      <c r="G461" s="372">
        <f>I528*M461</f>
        <v>34.631606562690351</v>
      </c>
      <c r="H461" s="308">
        <v>142.04</v>
      </c>
      <c r="I461" s="114">
        <f t="shared" si="107"/>
        <v>142.04</v>
      </c>
      <c r="J461" s="39"/>
      <c r="K461" s="187">
        <f t="shared" si="108"/>
        <v>1.0908322933666122E-2</v>
      </c>
      <c r="L461" s="188">
        <f t="shared" si="109"/>
        <v>0.57587712393203416</v>
      </c>
      <c r="M461" s="189">
        <f t="shared" si="110"/>
        <v>1.4160807615152193E-4</v>
      </c>
      <c r="N461" s="190">
        <f t="shared" si="111"/>
        <v>7.4758376806029862E-3</v>
      </c>
      <c r="O461" s="39"/>
      <c r="P461" s="262">
        <v>0</v>
      </c>
      <c r="Q461" s="510"/>
      <c r="R461" s="262">
        <v>0</v>
      </c>
      <c r="S461" s="510"/>
      <c r="T461" s="262">
        <v>1</v>
      </c>
      <c r="U461" s="521"/>
      <c r="V461" s="262">
        <v>1</v>
      </c>
      <c r="W461" s="510"/>
      <c r="X461" s="262">
        <v>1</v>
      </c>
      <c r="Y461" s="510"/>
    </row>
    <row r="462" spans="2:25" ht="12" customHeight="1">
      <c r="B462" s="182">
        <v>19146</v>
      </c>
      <c r="C462" s="96" t="s">
        <v>1143</v>
      </c>
      <c r="D462" s="97">
        <v>1</v>
      </c>
      <c r="E462" s="350" t="s">
        <v>1144</v>
      </c>
      <c r="F462" s="339">
        <f t="shared" si="112"/>
        <v>41.546224713337338</v>
      </c>
      <c r="G462" s="372">
        <f>I528*M462</f>
        <v>41.546224713337338</v>
      </c>
      <c r="H462" s="308">
        <v>170.4</v>
      </c>
      <c r="I462" s="114">
        <f t="shared" si="107"/>
        <v>170.4</v>
      </c>
      <c r="J462" s="39"/>
      <c r="K462" s="187">
        <f t="shared" si="108"/>
        <v>1.3086301238360373E-2</v>
      </c>
      <c r="L462" s="188">
        <f t="shared" si="109"/>
        <v>0.58896342517039457</v>
      </c>
      <c r="M462" s="189">
        <f t="shared" si="110"/>
        <v>1.6988183734313811E-4</v>
      </c>
      <c r="N462" s="190">
        <f t="shared" si="111"/>
        <v>7.645719517946124E-3</v>
      </c>
      <c r="O462" s="39"/>
      <c r="P462" s="262">
        <v>0</v>
      </c>
      <c r="Q462" s="510"/>
      <c r="R462" s="262">
        <v>0</v>
      </c>
      <c r="S462" s="510"/>
      <c r="T462" s="262">
        <v>1</v>
      </c>
      <c r="U462" s="521"/>
      <c r="V462" s="262">
        <v>1</v>
      </c>
      <c r="W462" s="510"/>
      <c r="X462" s="262">
        <v>1</v>
      </c>
      <c r="Y462" s="510"/>
    </row>
    <row r="463" spans="2:25" ht="12" customHeight="1">
      <c r="B463" s="182">
        <v>19147</v>
      </c>
      <c r="C463" s="96" t="s">
        <v>1145</v>
      </c>
      <c r="D463" s="97">
        <v>18</v>
      </c>
      <c r="E463" s="350" t="s">
        <v>1146</v>
      </c>
      <c r="F463" s="339">
        <f t="shared" si="112"/>
        <v>3.6011604402346982</v>
      </c>
      <c r="G463" s="372">
        <f>I528*M463</f>
        <v>64.820887924224564</v>
      </c>
      <c r="H463" s="308">
        <v>14.77</v>
      </c>
      <c r="I463" s="114">
        <f t="shared" si="107"/>
        <v>265.86</v>
      </c>
      <c r="J463" s="39"/>
      <c r="K463" s="187">
        <f t="shared" si="108"/>
        <v>2.0417394643371414E-2</v>
      </c>
      <c r="L463" s="188">
        <f t="shared" si="109"/>
        <v>0.60938081981376602</v>
      </c>
      <c r="M463" s="189">
        <f t="shared" si="110"/>
        <v>2.6505155678431162E-4</v>
      </c>
      <c r="N463" s="190">
        <f t="shared" si="111"/>
        <v>7.9107710747304359E-3</v>
      </c>
      <c r="O463" s="39"/>
      <c r="P463" s="262">
        <v>0</v>
      </c>
      <c r="Q463" s="510"/>
      <c r="R463" s="262">
        <v>0</v>
      </c>
      <c r="S463" s="510"/>
      <c r="T463" s="262">
        <v>1</v>
      </c>
      <c r="U463" s="521"/>
      <c r="V463" s="262">
        <v>1</v>
      </c>
      <c r="W463" s="510"/>
      <c r="X463" s="262">
        <v>1</v>
      </c>
      <c r="Y463" s="510"/>
    </row>
    <row r="464" spans="2:25" ht="12" customHeight="1">
      <c r="B464" s="182">
        <v>19148</v>
      </c>
      <c r="C464" s="96" t="s">
        <v>1147</v>
      </c>
      <c r="D464" s="97">
        <v>6</v>
      </c>
      <c r="E464" s="350" t="s">
        <v>1148</v>
      </c>
      <c r="F464" s="339">
        <f t="shared" si="112"/>
        <v>1.1971359351084878</v>
      </c>
      <c r="G464" s="372">
        <f>I528*M464</f>
        <v>7.1828156106509269</v>
      </c>
      <c r="H464" s="308">
        <v>4.91</v>
      </c>
      <c r="I464" s="114">
        <f t="shared" si="107"/>
        <v>29.46</v>
      </c>
      <c r="J464" s="39"/>
      <c r="K464" s="187">
        <f t="shared" si="108"/>
        <v>2.2624556014207548E-3</v>
      </c>
      <c r="L464" s="188">
        <f t="shared" si="109"/>
        <v>0.61164327541518682</v>
      </c>
      <c r="M464" s="189">
        <f t="shared" si="110"/>
        <v>2.9370416244887609E-5</v>
      </c>
      <c r="N464" s="190">
        <f t="shared" si="111"/>
        <v>7.9401414909753242E-3</v>
      </c>
      <c r="O464" s="39"/>
      <c r="P464" s="262">
        <v>0</v>
      </c>
      <c r="Q464" s="510"/>
      <c r="R464" s="262">
        <v>0</v>
      </c>
      <c r="S464" s="510"/>
      <c r="T464" s="262">
        <v>1</v>
      </c>
      <c r="U464" s="521"/>
      <c r="V464" s="262">
        <v>1</v>
      </c>
      <c r="W464" s="510"/>
      <c r="X464" s="262">
        <v>1</v>
      </c>
      <c r="Y464" s="510"/>
    </row>
    <row r="465" spans="2:25" ht="12" customHeight="1">
      <c r="B465" s="182">
        <v>19149</v>
      </c>
      <c r="C465" s="96" t="s">
        <v>1149</v>
      </c>
      <c r="D465" s="97">
        <v>4</v>
      </c>
      <c r="E465" s="350" t="s">
        <v>1150</v>
      </c>
      <c r="F465" s="339">
        <f t="shared" si="112"/>
        <v>6.9316852617381484</v>
      </c>
      <c r="G465" s="372">
        <f>I528*M465</f>
        <v>27.726741046952593</v>
      </c>
      <c r="H465" s="308">
        <v>28.43</v>
      </c>
      <c r="I465" s="114">
        <f t="shared" si="107"/>
        <v>113.72</v>
      </c>
      <c r="J465" s="39"/>
      <c r="K465" s="187">
        <f t="shared" si="108"/>
        <v>8.7334165306710183E-3</v>
      </c>
      <c r="L465" s="188">
        <f t="shared" si="109"/>
        <v>0.62037669194585787</v>
      </c>
      <c r="M465" s="189">
        <f t="shared" si="110"/>
        <v>1.1337419332547926E-4</v>
      </c>
      <c r="N465" s="190">
        <f t="shared" si="111"/>
        <v>8.0535156843008042E-3</v>
      </c>
      <c r="O465" s="39"/>
      <c r="P465" s="262">
        <v>0</v>
      </c>
      <c r="Q465" s="510"/>
      <c r="R465" s="262">
        <v>0</v>
      </c>
      <c r="S465" s="510"/>
      <c r="T465" s="262">
        <v>1</v>
      </c>
      <c r="U465" s="521"/>
      <c r="V465" s="262">
        <v>1</v>
      </c>
      <c r="W465" s="510"/>
      <c r="X465" s="262">
        <v>1</v>
      </c>
      <c r="Y465" s="510"/>
    </row>
    <row r="466" spans="2:25" ht="12" customHeight="1">
      <c r="B466" s="182">
        <v>19150</v>
      </c>
      <c r="C466" s="96" t="s">
        <v>1151</v>
      </c>
      <c r="D466" s="97">
        <v>4</v>
      </c>
      <c r="E466" s="350" t="s">
        <v>1152</v>
      </c>
      <c r="F466" s="339">
        <f t="shared" si="112"/>
        <v>0.74363841182910129</v>
      </c>
      <c r="G466" s="372">
        <f>I528*M466</f>
        <v>2.9745536473164051</v>
      </c>
      <c r="H466" s="308">
        <v>3.05</v>
      </c>
      <c r="I466" s="114">
        <f t="shared" si="107"/>
        <v>12.2</v>
      </c>
      <c r="J466" s="39"/>
      <c r="K466" s="187">
        <f t="shared" si="108"/>
        <v>9.3693001823941626E-4</v>
      </c>
      <c r="L466" s="188">
        <f t="shared" si="109"/>
        <v>0.62131362196409734</v>
      </c>
      <c r="M466" s="189">
        <f t="shared" si="110"/>
        <v>1.2162901499919511E-5</v>
      </c>
      <c r="N466" s="190">
        <f t="shared" si="111"/>
        <v>8.0656785858007236E-3</v>
      </c>
      <c r="O466" s="39"/>
      <c r="P466" s="262">
        <v>0</v>
      </c>
      <c r="Q466" s="510"/>
      <c r="R466" s="262">
        <v>0</v>
      </c>
      <c r="S466" s="510"/>
      <c r="T466" s="262">
        <v>1</v>
      </c>
      <c r="U466" s="521"/>
      <c r="V466" s="262">
        <v>1</v>
      </c>
      <c r="W466" s="510"/>
      <c r="X466" s="262">
        <v>1</v>
      </c>
      <c r="Y466" s="510"/>
    </row>
    <row r="467" spans="2:25" ht="12" customHeight="1">
      <c r="B467" s="182">
        <v>19151</v>
      </c>
      <c r="C467" s="96" t="s">
        <v>1153</v>
      </c>
      <c r="D467" s="97">
        <v>6</v>
      </c>
      <c r="E467" s="350" t="s">
        <v>1154</v>
      </c>
      <c r="F467" s="339">
        <f t="shared" si="112"/>
        <v>1.32635834765584</v>
      </c>
      <c r="G467" s="372">
        <f>I528*M467</f>
        <v>7.9581500859350403</v>
      </c>
      <c r="H467" s="308">
        <v>5.44</v>
      </c>
      <c r="I467" s="114">
        <f t="shared" si="107"/>
        <v>32.64</v>
      </c>
      <c r="J467" s="39"/>
      <c r="K467" s="187">
        <f t="shared" si="108"/>
        <v>2.5066717865028319E-3</v>
      </c>
      <c r="L467" s="188">
        <f t="shared" si="109"/>
        <v>0.62382029375060022</v>
      </c>
      <c r="M467" s="189">
        <f t="shared" si="110"/>
        <v>3.2540746307981387E-5</v>
      </c>
      <c r="N467" s="190">
        <f t="shared" si="111"/>
        <v>8.0982193321087054E-3</v>
      </c>
      <c r="O467" s="39"/>
      <c r="P467" s="262">
        <v>0</v>
      </c>
      <c r="Q467" s="510"/>
      <c r="R467" s="262">
        <v>0</v>
      </c>
      <c r="S467" s="510"/>
      <c r="T467" s="262">
        <v>1</v>
      </c>
      <c r="U467" s="521"/>
      <c r="V467" s="262">
        <v>1</v>
      </c>
      <c r="W467" s="510"/>
      <c r="X467" s="262">
        <v>1</v>
      </c>
      <c r="Y467" s="510"/>
    </row>
    <row r="468" spans="2:25" ht="12" customHeight="1">
      <c r="B468" s="182">
        <v>19152</v>
      </c>
      <c r="C468" s="96" t="s">
        <v>1155</v>
      </c>
      <c r="D468" s="97">
        <v>3</v>
      </c>
      <c r="E468" s="350" t="s">
        <v>1156</v>
      </c>
      <c r="F468" s="339">
        <f t="shared" si="112"/>
        <v>0.49494622164363139</v>
      </c>
      <c r="G468" s="372">
        <f>I528*M468</f>
        <v>1.4848386649308942</v>
      </c>
      <c r="H468" s="308">
        <v>2.0299999999999998</v>
      </c>
      <c r="I468" s="114">
        <f t="shared" si="107"/>
        <v>6.09</v>
      </c>
      <c r="J468" s="39"/>
      <c r="K468" s="187">
        <f t="shared" si="108"/>
        <v>4.6769703369492174E-4</v>
      </c>
      <c r="L468" s="188">
        <f t="shared" si="109"/>
        <v>0.62428799078429509</v>
      </c>
      <c r="M468" s="189">
        <f t="shared" si="110"/>
        <v>6.0714811585663794E-6</v>
      </c>
      <c r="N468" s="190">
        <f t="shared" si="111"/>
        <v>8.1042908132672713E-3</v>
      </c>
      <c r="O468" s="39"/>
      <c r="P468" s="262">
        <v>0</v>
      </c>
      <c r="Q468" s="510"/>
      <c r="R468" s="262">
        <v>0</v>
      </c>
      <c r="S468" s="510"/>
      <c r="T468" s="262">
        <v>1</v>
      </c>
      <c r="U468" s="521"/>
      <c r="V468" s="262">
        <v>1</v>
      </c>
      <c r="W468" s="510"/>
      <c r="X468" s="262">
        <v>1</v>
      </c>
      <c r="Y468" s="510"/>
    </row>
    <row r="469" spans="2:25" ht="12" customHeight="1">
      <c r="B469" s="182">
        <v>19153</v>
      </c>
      <c r="C469" s="96" t="s">
        <v>1157</v>
      </c>
      <c r="D469" s="97">
        <v>1</v>
      </c>
      <c r="E469" s="350" t="s">
        <v>1158</v>
      </c>
      <c r="F469" s="339">
        <f t="shared" si="112"/>
        <v>362.62978567132484</v>
      </c>
      <c r="G469" s="372">
        <f>I528*M469</f>
        <v>362.62978567132484</v>
      </c>
      <c r="H469" s="308">
        <v>1487.31</v>
      </c>
      <c r="I469" s="114">
        <f t="shared" si="107"/>
        <v>1487.31</v>
      </c>
      <c r="J469" s="39"/>
      <c r="K469" s="187">
        <f t="shared" si="108"/>
        <v>0.11422175290390707</v>
      </c>
      <c r="L469" s="188">
        <f t="shared" si="109"/>
        <v>0.73850974368820221</v>
      </c>
      <c r="M469" s="189">
        <f t="shared" si="110"/>
        <v>1.4827872975283023E-3</v>
      </c>
      <c r="N469" s="190">
        <f t="shared" si="111"/>
        <v>9.587078110795573E-3</v>
      </c>
      <c r="O469" s="39"/>
      <c r="P469" s="262">
        <v>0</v>
      </c>
      <c r="Q469" s="510"/>
      <c r="R469" s="262">
        <v>0</v>
      </c>
      <c r="S469" s="510"/>
      <c r="T469" s="262">
        <v>1</v>
      </c>
      <c r="U469" s="521"/>
      <c r="V469" s="262">
        <v>1</v>
      </c>
      <c r="W469" s="510"/>
      <c r="X469" s="262">
        <v>1</v>
      </c>
      <c r="Y469" s="510"/>
    </row>
    <row r="470" spans="2:25" ht="12" customHeight="1">
      <c r="B470" s="182">
        <v>19154</v>
      </c>
      <c r="C470" s="96" t="s">
        <v>1159</v>
      </c>
      <c r="D470" s="97">
        <v>3</v>
      </c>
      <c r="E470" s="350" t="s">
        <v>1160</v>
      </c>
      <c r="F470" s="339">
        <f t="shared" si="112"/>
        <v>0.5193278089167167</v>
      </c>
      <c r="G470" s="372">
        <f>I528*M470</f>
        <v>1.55798342675015</v>
      </c>
      <c r="H470" s="308">
        <v>2.13</v>
      </c>
      <c r="I470" s="114">
        <f t="shared" si="107"/>
        <v>6.39</v>
      </c>
      <c r="J470" s="39"/>
      <c r="K470" s="187">
        <f t="shared" si="108"/>
        <v>4.907362964385139E-4</v>
      </c>
      <c r="L470" s="188">
        <f t="shared" si="109"/>
        <v>0.73900047998464069</v>
      </c>
      <c r="M470" s="189">
        <f t="shared" si="110"/>
        <v>6.3705689003676783E-6</v>
      </c>
      <c r="N470" s="190">
        <f t="shared" si="111"/>
        <v>9.5934486796959411E-3</v>
      </c>
      <c r="O470" s="39"/>
      <c r="P470" s="262">
        <v>0</v>
      </c>
      <c r="Q470" s="510"/>
      <c r="R470" s="262">
        <v>0</v>
      </c>
      <c r="S470" s="510"/>
      <c r="T470" s="262">
        <v>1</v>
      </c>
      <c r="U470" s="521"/>
      <c r="V470" s="262">
        <v>1</v>
      </c>
      <c r="W470" s="510"/>
      <c r="X470" s="262">
        <v>1</v>
      </c>
      <c r="Y470" s="510"/>
    </row>
    <row r="471" spans="2:25" ht="12" customHeight="1">
      <c r="B471" s="182">
        <v>19155</v>
      </c>
      <c r="C471" s="96" t="s">
        <v>1161</v>
      </c>
      <c r="D471" s="97">
        <v>15</v>
      </c>
      <c r="E471" s="350" t="s">
        <v>1162</v>
      </c>
      <c r="F471" s="339">
        <f t="shared" si="112"/>
        <v>1.9627177754833662</v>
      </c>
      <c r="G471" s="372">
        <f>I528*M471</f>
        <v>29.440766632250494</v>
      </c>
      <c r="H471" s="308">
        <v>8.0500000000000007</v>
      </c>
      <c r="I471" s="114">
        <f t="shared" si="107"/>
        <v>120.75000000000001</v>
      </c>
      <c r="J471" s="39"/>
      <c r="K471" s="187">
        <f t="shared" si="108"/>
        <v>9.273303254295864E-3</v>
      </c>
      <c r="L471" s="188">
        <f t="shared" si="109"/>
        <v>0.74827378323893656</v>
      </c>
      <c r="M471" s="189">
        <f t="shared" si="110"/>
        <v>1.2038281607502306E-4</v>
      </c>
      <c r="N471" s="190">
        <f t="shared" si="111"/>
        <v>9.7138314957709634E-3</v>
      </c>
      <c r="O471" s="39"/>
      <c r="P471" s="262">
        <v>0</v>
      </c>
      <c r="Q471" s="510"/>
      <c r="R471" s="262">
        <v>0</v>
      </c>
      <c r="S471" s="510"/>
      <c r="T471" s="262">
        <v>1</v>
      </c>
      <c r="U471" s="521"/>
      <c r="V471" s="262">
        <v>1</v>
      </c>
      <c r="W471" s="510"/>
      <c r="X471" s="262">
        <v>1</v>
      </c>
      <c r="Y471" s="510"/>
    </row>
    <row r="472" spans="2:25" ht="12" customHeight="1">
      <c r="B472" s="182">
        <v>19156</v>
      </c>
      <c r="C472" s="96" t="s">
        <v>1163</v>
      </c>
      <c r="D472" s="97">
        <v>72</v>
      </c>
      <c r="E472" s="350" t="s">
        <v>1164</v>
      </c>
      <c r="F472" s="339">
        <f t="shared" si="112"/>
        <v>5.7662453900846717</v>
      </c>
      <c r="G472" s="372">
        <f>I528*M472</f>
        <v>415.16966808609635</v>
      </c>
      <c r="H472" s="308">
        <v>23.65</v>
      </c>
      <c r="I472" s="114">
        <f t="shared" si="107"/>
        <v>1702.8</v>
      </c>
      <c r="J472" s="39"/>
      <c r="K472" s="187">
        <f t="shared" si="108"/>
        <v>0.13077085533262936</v>
      </c>
      <c r="L472" s="188">
        <f t="shared" si="109"/>
        <v>0.8790446385715659</v>
      </c>
      <c r="M472" s="189">
        <f t="shared" si="110"/>
        <v>1.6976220224641759E-3</v>
      </c>
      <c r="N472" s="190">
        <f t="shared" si="111"/>
        <v>1.1411453518235139E-2</v>
      </c>
      <c r="O472" s="39"/>
      <c r="P472" s="262">
        <v>0</v>
      </c>
      <c r="Q472" s="510"/>
      <c r="R472" s="262">
        <v>0</v>
      </c>
      <c r="S472" s="510"/>
      <c r="T472" s="262">
        <v>1</v>
      </c>
      <c r="U472" s="521"/>
      <c r="V472" s="262">
        <v>1</v>
      </c>
      <c r="W472" s="510"/>
      <c r="X472" s="262">
        <v>1</v>
      </c>
      <c r="Y472" s="510"/>
    </row>
    <row r="473" spans="2:25" ht="12" customHeight="1">
      <c r="B473" s="182">
        <v>19157</v>
      </c>
      <c r="C473" s="96" t="s">
        <v>1165</v>
      </c>
      <c r="D473" s="97">
        <v>24</v>
      </c>
      <c r="E473" s="350" t="s">
        <v>1166</v>
      </c>
      <c r="F473" s="339">
        <f t="shared" si="112"/>
        <v>4.4179436138830548</v>
      </c>
      <c r="G473" s="372">
        <f>I528*M473</f>
        <v>106.03064673319332</v>
      </c>
      <c r="H473" s="308">
        <v>18.12</v>
      </c>
      <c r="I473" s="114">
        <f t="shared" si="107"/>
        <v>434.88</v>
      </c>
      <c r="J473" s="39"/>
      <c r="K473" s="187">
        <f t="shared" si="108"/>
        <v>3.3397715273111257E-2</v>
      </c>
      <c r="L473" s="188">
        <f t="shared" si="109"/>
        <v>0.9124423538446772</v>
      </c>
      <c r="M473" s="189">
        <f t="shared" si="110"/>
        <v>4.3355759051516373E-4</v>
      </c>
      <c r="N473" s="190">
        <f t="shared" si="111"/>
        <v>1.1845011108750303E-2</v>
      </c>
      <c r="O473" s="39"/>
      <c r="P473" s="262">
        <v>0</v>
      </c>
      <c r="Q473" s="510"/>
      <c r="R473" s="262">
        <v>0</v>
      </c>
      <c r="S473" s="510"/>
      <c r="T473" s="262">
        <v>1</v>
      </c>
      <c r="U473" s="521"/>
      <c r="V473" s="262">
        <v>1</v>
      </c>
      <c r="W473" s="510"/>
      <c r="X473" s="262">
        <v>1</v>
      </c>
      <c r="Y473" s="510"/>
    </row>
    <row r="474" spans="2:25" ht="12" customHeight="1">
      <c r="B474" s="182">
        <v>19158</v>
      </c>
      <c r="C474" s="96" t="s">
        <v>1167</v>
      </c>
      <c r="D474" s="97">
        <v>1</v>
      </c>
      <c r="E474" s="350" t="s">
        <v>1168</v>
      </c>
      <c r="F474" s="339">
        <f t="shared" si="112"/>
        <v>16.737959662973054</v>
      </c>
      <c r="G474" s="372">
        <f>I528*M474</f>
        <v>16.737959662973054</v>
      </c>
      <c r="H474" s="308">
        <v>68.650000000000006</v>
      </c>
      <c r="I474" s="114">
        <f t="shared" si="107"/>
        <v>68.650000000000006</v>
      </c>
      <c r="J474" s="39"/>
      <c r="K474" s="187">
        <f t="shared" si="108"/>
        <v>5.2721512911586832E-3</v>
      </c>
      <c r="L474" s="188">
        <f t="shared" si="109"/>
        <v>0.91771450513583586</v>
      </c>
      <c r="M474" s="189">
        <f t="shared" si="110"/>
        <v>6.8441244915530704E-5</v>
      </c>
      <c r="N474" s="190">
        <f t="shared" si="111"/>
        <v>1.1913452353665834E-2</v>
      </c>
      <c r="O474" s="39"/>
      <c r="P474" s="262">
        <v>0</v>
      </c>
      <c r="Q474" s="510"/>
      <c r="R474" s="262">
        <v>0</v>
      </c>
      <c r="S474" s="510"/>
      <c r="T474" s="262">
        <v>1</v>
      </c>
      <c r="U474" s="521"/>
      <c r="V474" s="262">
        <v>1</v>
      </c>
      <c r="W474" s="510"/>
      <c r="X474" s="262">
        <v>1</v>
      </c>
      <c r="Y474" s="510"/>
    </row>
    <row r="475" spans="2:25" ht="12" customHeight="1">
      <c r="B475" s="182">
        <v>19159</v>
      </c>
      <c r="C475" s="96" t="s">
        <v>1169</v>
      </c>
      <c r="D475" s="97">
        <v>3</v>
      </c>
      <c r="E475" s="350" t="s">
        <v>1170</v>
      </c>
      <c r="F475" s="339">
        <f t="shared" si="112"/>
        <v>8.0654290699366147</v>
      </c>
      <c r="G475" s="372">
        <f>I528*M475</f>
        <v>24.196287209809842</v>
      </c>
      <c r="H475" s="308">
        <v>33.08</v>
      </c>
      <c r="I475" s="114">
        <f t="shared" si="107"/>
        <v>99.24</v>
      </c>
      <c r="J475" s="39"/>
      <c r="K475" s="187">
        <f t="shared" si="108"/>
        <v>7.6213881155803012E-3</v>
      </c>
      <c r="L475" s="188">
        <f t="shared" si="109"/>
        <v>0.92533589325141619</v>
      </c>
      <c r="M475" s="189">
        <f t="shared" si="110"/>
        <v>9.8938224987869867E-5</v>
      </c>
      <c r="N475" s="190">
        <f t="shared" si="111"/>
        <v>1.2012390578653704E-2</v>
      </c>
      <c r="O475" s="39"/>
      <c r="P475" s="262">
        <v>0</v>
      </c>
      <c r="Q475" s="510"/>
      <c r="R475" s="262">
        <v>0</v>
      </c>
      <c r="S475" s="510"/>
      <c r="T475" s="262">
        <v>1</v>
      </c>
      <c r="U475" s="521"/>
      <c r="V475" s="262">
        <v>1</v>
      </c>
      <c r="W475" s="510"/>
      <c r="X475" s="262">
        <v>1</v>
      </c>
      <c r="Y475" s="510"/>
    </row>
    <row r="476" spans="2:25" ht="12" customHeight="1">
      <c r="B476" s="182">
        <v>19160</v>
      </c>
      <c r="C476" s="96" t="s">
        <v>1171</v>
      </c>
      <c r="D476" s="97">
        <v>3</v>
      </c>
      <c r="E476" s="350" t="s">
        <v>1172</v>
      </c>
      <c r="F476" s="339">
        <f t="shared" si="112"/>
        <v>20.019721309930329</v>
      </c>
      <c r="G476" s="372">
        <f>I528*M476</f>
        <v>60.059163929790991</v>
      </c>
      <c r="H476" s="308">
        <v>82.11</v>
      </c>
      <c r="I476" s="114">
        <f t="shared" si="107"/>
        <v>246.32999999999998</v>
      </c>
      <c r="J476" s="39"/>
      <c r="K476" s="187">
        <f t="shared" si="108"/>
        <v>1.8917538638763557E-2</v>
      </c>
      <c r="L476" s="188">
        <f t="shared" si="109"/>
        <v>0.94425343189017974</v>
      </c>
      <c r="M476" s="189">
        <f t="shared" si="110"/>
        <v>2.4558094479304698E-4</v>
      </c>
      <c r="N476" s="190">
        <f t="shared" si="111"/>
        <v>1.2257971523446751E-2</v>
      </c>
      <c r="O476" s="39"/>
      <c r="P476" s="262">
        <v>0</v>
      </c>
      <c r="Q476" s="510"/>
      <c r="R476" s="262">
        <v>0</v>
      </c>
      <c r="S476" s="510"/>
      <c r="T476" s="262">
        <v>1</v>
      </c>
      <c r="U476" s="521"/>
      <c r="V476" s="262">
        <v>1</v>
      </c>
      <c r="W476" s="510"/>
      <c r="X476" s="262">
        <v>1</v>
      </c>
      <c r="Y476" s="510"/>
    </row>
    <row r="477" spans="2:25" ht="12" customHeight="1">
      <c r="B477" s="182">
        <v>19161</v>
      </c>
      <c r="C477" s="96" t="s">
        <v>1173</v>
      </c>
      <c r="D477" s="97">
        <v>2</v>
      </c>
      <c r="E477" s="350" t="s">
        <v>1174</v>
      </c>
      <c r="F477" s="339">
        <f t="shared" si="112"/>
        <v>0.81678317364835729</v>
      </c>
      <c r="G477" s="372">
        <f>I528*M477</f>
        <v>1.6335663472967146</v>
      </c>
      <c r="H477" s="308">
        <v>3.35</v>
      </c>
      <c r="I477" s="114">
        <f t="shared" si="107"/>
        <v>6.7</v>
      </c>
      <c r="J477" s="39"/>
      <c r="K477" s="187">
        <f t="shared" si="108"/>
        <v>5.1454353460689262E-4</v>
      </c>
      <c r="L477" s="188">
        <f t="shared" si="109"/>
        <v>0.94476797542478663</v>
      </c>
      <c r="M477" s="189">
        <f t="shared" si="110"/>
        <v>6.6796262335623555E-6</v>
      </c>
      <c r="N477" s="190">
        <f t="shared" si="111"/>
        <v>1.2264651149680313E-2</v>
      </c>
      <c r="O477" s="39"/>
      <c r="P477" s="262">
        <v>0</v>
      </c>
      <c r="Q477" s="510"/>
      <c r="R477" s="262">
        <v>0</v>
      </c>
      <c r="S477" s="510"/>
      <c r="T477" s="262">
        <v>1</v>
      </c>
      <c r="U477" s="521"/>
      <c r="V477" s="262">
        <v>1</v>
      </c>
      <c r="W477" s="510"/>
      <c r="X477" s="262">
        <v>1</v>
      </c>
      <c r="Y477" s="510"/>
    </row>
    <row r="478" spans="2:25" ht="12" customHeight="1">
      <c r="B478" s="182">
        <v>19162</v>
      </c>
      <c r="C478" s="96" t="s">
        <v>1175</v>
      </c>
      <c r="D478" s="97">
        <v>3</v>
      </c>
      <c r="E478" s="350" t="s">
        <v>1176</v>
      </c>
      <c r="F478" s="339">
        <f t="shared" si="112"/>
        <v>2.165084949849974</v>
      </c>
      <c r="G478" s="372">
        <f>I528*M478</f>
        <v>6.495254849549922</v>
      </c>
      <c r="H478" s="308">
        <v>8.8800000000000008</v>
      </c>
      <c r="I478" s="114">
        <f t="shared" si="107"/>
        <v>26.64</v>
      </c>
      <c r="J478" s="39"/>
      <c r="K478" s="187">
        <f t="shared" si="108"/>
        <v>2.0458865316309877E-3</v>
      </c>
      <c r="L478" s="188">
        <f t="shared" si="109"/>
        <v>0.94681386195641759</v>
      </c>
      <c r="M478" s="189">
        <f t="shared" si="110"/>
        <v>2.6558991471955394E-5</v>
      </c>
      <c r="N478" s="190">
        <f t="shared" si="111"/>
        <v>1.2291210141152269E-2</v>
      </c>
      <c r="O478" s="39"/>
      <c r="P478" s="262">
        <v>0</v>
      </c>
      <c r="Q478" s="510"/>
      <c r="R478" s="262">
        <v>0</v>
      </c>
      <c r="S478" s="510"/>
      <c r="T478" s="262">
        <v>1</v>
      </c>
      <c r="U478" s="521"/>
      <c r="V478" s="262">
        <v>1</v>
      </c>
      <c r="W478" s="510"/>
      <c r="X478" s="262">
        <v>1</v>
      </c>
      <c r="Y478" s="510"/>
    </row>
    <row r="479" spans="2:25" ht="12" customHeight="1">
      <c r="B479" s="182">
        <v>19163</v>
      </c>
      <c r="C479" s="96" t="s">
        <v>1177</v>
      </c>
      <c r="D479" s="97">
        <v>1</v>
      </c>
      <c r="E479" s="350" t="s">
        <v>1178</v>
      </c>
      <c r="F479" s="339">
        <f t="shared" si="112"/>
        <v>88.183324849294877</v>
      </c>
      <c r="G479" s="372">
        <f>I528*M479</f>
        <v>88.183324849294877</v>
      </c>
      <c r="H479" s="308">
        <v>361.68</v>
      </c>
      <c r="I479" s="114">
        <f t="shared" si="107"/>
        <v>361.68</v>
      </c>
      <c r="J479" s="39"/>
      <c r="K479" s="187">
        <f t="shared" si="108"/>
        <v>2.7776135163674762E-2</v>
      </c>
      <c r="L479" s="188">
        <f t="shared" si="109"/>
        <v>0.97458999712009231</v>
      </c>
      <c r="M479" s="189">
        <f t="shared" si="110"/>
        <v>3.6058018151564664E-4</v>
      </c>
      <c r="N479" s="190">
        <f t="shared" si="111"/>
        <v>1.2651790322667916E-2</v>
      </c>
      <c r="O479" s="39"/>
      <c r="P479" s="262">
        <v>0</v>
      </c>
      <c r="Q479" s="510"/>
      <c r="R479" s="262">
        <v>0</v>
      </c>
      <c r="S479" s="510"/>
      <c r="T479" s="262">
        <v>1</v>
      </c>
      <c r="U479" s="521"/>
      <c r="V479" s="262">
        <v>1</v>
      </c>
      <c r="W479" s="510"/>
      <c r="X479" s="262">
        <v>1</v>
      </c>
      <c r="Y479" s="510"/>
    </row>
    <row r="480" spans="2:25" ht="12" customHeight="1">
      <c r="B480" s="182">
        <v>19164</v>
      </c>
      <c r="C480" s="96" t="s">
        <v>1179</v>
      </c>
      <c r="D480" s="97">
        <v>1</v>
      </c>
      <c r="E480" s="350" t="s">
        <v>1180</v>
      </c>
      <c r="F480" s="345">
        <f t="shared" si="112"/>
        <v>80.671357810457309</v>
      </c>
      <c r="G480" s="372">
        <f>I528*M480</f>
        <v>80.671357810457309</v>
      </c>
      <c r="H480" s="308">
        <v>330.87</v>
      </c>
      <c r="I480" s="114">
        <f t="shared" si="107"/>
        <v>330.87</v>
      </c>
      <c r="J480" s="39"/>
      <c r="K480" s="187">
        <f>+I480/$I$446</f>
        <v>2.5410002879907842E-2</v>
      </c>
      <c r="L480" s="188">
        <f>+L479+K480</f>
        <v>1.0000000000000002</v>
      </c>
      <c r="M480" s="189">
        <f t="shared" si="110"/>
        <v>3.2986387043265321E-4</v>
      </c>
      <c r="N480" s="191">
        <f>+N479+M480</f>
        <v>1.2981654193100569E-2</v>
      </c>
      <c r="O480" s="39"/>
      <c r="P480" s="262">
        <v>0</v>
      </c>
      <c r="Q480" s="511"/>
      <c r="R480" s="262">
        <v>0</v>
      </c>
      <c r="S480" s="511"/>
      <c r="T480" s="262">
        <v>1</v>
      </c>
      <c r="U480" s="522"/>
      <c r="V480" s="262">
        <v>1</v>
      </c>
      <c r="W480" s="511"/>
      <c r="X480" s="262">
        <v>1</v>
      </c>
      <c r="Y480" s="511"/>
    </row>
    <row r="481" spans="1:25" ht="12" customHeight="1">
      <c r="A481" s="291" t="s">
        <v>70</v>
      </c>
      <c r="B481" s="158"/>
      <c r="C481" s="159" t="s">
        <v>590</v>
      </c>
      <c r="D481" s="160"/>
      <c r="E481" s="359"/>
      <c r="F481" s="394">
        <f>+G481/D$3</f>
        <v>1.4368060562717708</v>
      </c>
      <c r="G481" s="377">
        <f>SUM(G482:G495)</f>
        <v>1323.0253846756093</v>
      </c>
      <c r="H481" s="313"/>
      <c r="I481" s="161">
        <f>SUM(I482:I495)</f>
        <v>5426.3300000000008</v>
      </c>
      <c r="J481" s="39"/>
      <c r="K481" s="552" t="str">
        <f>+C481</f>
        <v>Aterramento</v>
      </c>
      <c r="L481" s="553"/>
      <c r="M481" s="170">
        <f t="shared" si="110"/>
        <v>5.4098292865621522E-3</v>
      </c>
      <c r="N481" s="171"/>
      <c r="O481" s="38"/>
      <c r="P481" s="261">
        <f>SUMPRODUCT( P482:P495,$M$482:$M$495)</f>
        <v>0</v>
      </c>
      <c r="Q481" s="510">
        <f>+P481/$M$481</f>
        <v>0</v>
      </c>
      <c r="R481" s="261">
        <f>SUMPRODUCT( R482:R495,$M$482:$M$495)</f>
        <v>0</v>
      </c>
      <c r="S481" s="510">
        <f>+R481/$M$481</f>
        <v>0</v>
      </c>
      <c r="T481" s="261">
        <f>SUMPRODUCT( T482:T495,$M$482:$M$495)</f>
        <v>5.4098292865621504E-3</v>
      </c>
      <c r="U481" s="521">
        <f>+T481/$M$481</f>
        <v>0.99999999999999967</v>
      </c>
      <c r="V481" s="261">
        <f>SUMPRODUCT( V482:V495,$M$482:$M$495)</f>
        <v>5.4098292865621504E-3</v>
      </c>
      <c r="W481" s="510">
        <f>+V481/$M$481</f>
        <v>0.99999999999999967</v>
      </c>
      <c r="X481" s="261">
        <f>SUMPRODUCT( X482:X495,$M$482:$M$495)</f>
        <v>5.4098292865621504E-3</v>
      </c>
      <c r="Y481" s="510">
        <f>+X481/$M$481</f>
        <v>0.99999999999999967</v>
      </c>
    </row>
    <row r="482" spans="1:25" ht="12" customHeight="1">
      <c r="B482" s="182">
        <v>19165</v>
      </c>
      <c r="C482" s="96" t="s">
        <v>1181</v>
      </c>
      <c r="D482" s="97">
        <v>265</v>
      </c>
      <c r="E482" s="350" t="s">
        <v>1182</v>
      </c>
      <c r="F482" s="346">
        <f t="shared" si="112"/>
        <v>1.9627177754833658</v>
      </c>
      <c r="G482" s="372">
        <f>I528*M482</f>
        <v>520.12021050309193</v>
      </c>
      <c r="H482" s="308">
        <v>8.0500000000000007</v>
      </c>
      <c r="I482" s="114">
        <f t="shared" ref="I482:I495" si="113">$D482*$H482</f>
        <v>2133.25</v>
      </c>
      <c r="J482" s="39"/>
      <c r="K482" s="187">
        <f>+I482/$I$481</f>
        <v>0.39312942633418896</v>
      </c>
      <c r="L482" s="188">
        <f>+K482</f>
        <v>0.39312942633418896</v>
      </c>
      <c r="M482" s="189">
        <f t="shared" si="110"/>
        <v>2.1267630839920735E-3</v>
      </c>
      <c r="N482" s="190">
        <f>+M482</f>
        <v>2.1267630839920735E-3</v>
      </c>
      <c r="O482" s="39"/>
      <c r="P482" s="262">
        <v>0</v>
      </c>
      <c r="Q482" s="510"/>
      <c r="R482" s="262">
        <v>0</v>
      </c>
      <c r="S482" s="510"/>
      <c r="T482" s="262">
        <v>1</v>
      </c>
      <c r="U482" s="521"/>
      <c r="V482" s="262">
        <v>1</v>
      </c>
      <c r="W482" s="510"/>
      <c r="X482" s="262">
        <v>1</v>
      </c>
      <c r="Y482" s="510"/>
    </row>
    <row r="483" spans="1:25" ht="12" customHeight="1">
      <c r="B483" s="182">
        <v>19166</v>
      </c>
      <c r="C483" s="96" t="s">
        <v>1183</v>
      </c>
      <c r="D483" s="97">
        <v>46</v>
      </c>
      <c r="E483" s="350" t="s">
        <v>1184</v>
      </c>
      <c r="F483" s="339">
        <f t="shared" si="112"/>
        <v>9.8818573217814691</v>
      </c>
      <c r="G483" s="372">
        <f>I528*M483</f>
        <v>454.56543680194761</v>
      </c>
      <c r="H483" s="308">
        <v>40.53</v>
      </c>
      <c r="I483" s="114">
        <f t="shared" si="113"/>
        <v>1864.38</v>
      </c>
      <c r="J483" s="39"/>
      <c r="K483" s="187">
        <f>+I483/$I$481</f>
        <v>0.34358028354338932</v>
      </c>
      <c r="L483" s="188">
        <f>+L482+K483</f>
        <v>0.73670970987757833</v>
      </c>
      <c r="M483" s="189">
        <f t="shared" si="110"/>
        <v>1.8587106801983559E-3</v>
      </c>
      <c r="N483" s="190">
        <f>+N482+M483</f>
        <v>3.9854737641904295E-3</v>
      </c>
      <c r="O483" s="39"/>
      <c r="P483" s="262">
        <v>0</v>
      </c>
      <c r="Q483" s="510"/>
      <c r="R483" s="262">
        <v>0</v>
      </c>
      <c r="S483" s="510"/>
      <c r="T483" s="262">
        <v>1</v>
      </c>
      <c r="U483" s="521"/>
      <c r="V483" s="262">
        <v>1</v>
      </c>
      <c r="W483" s="510"/>
      <c r="X483" s="262">
        <v>1</v>
      </c>
      <c r="Y483" s="510"/>
    </row>
    <row r="484" spans="1:25" ht="12" customHeight="1">
      <c r="B484" s="182">
        <v>19167</v>
      </c>
      <c r="C484" s="96" t="s">
        <v>1185</v>
      </c>
      <c r="D484" s="97">
        <v>5</v>
      </c>
      <c r="E484" s="350" t="s">
        <v>1186</v>
      </c>
      <c r="F484" s="339">
        <f t="shared" si="112"/>
        <v>16.737959662973051</v>
      </c>
      <c r="G484" s="372">
        <f>I528*M484</f>
        <v>83.689798314865257</v>
      </c>
      <c r="H484" s="308">
        <v>68.650000000000006</v>
      </c>
      <c r="I484" s="114">
        <f t="shared" si="113"/>
        <v>343.25</v>
      </c>
      <c r="J484" s="39"/>
      <c r="K484" s="187">
        <f t="shared" ref="K484:K495" si="114">+I484/$I$481</f>
        <v>6.3256381384840202E-2</v>
      </c>
      <c r="L484" s="188">
        <f t="shared" ref="L484:L495" si="115">+L483+K484</f>
        <v>0.79996609126241858</v>
      </c>
      <c r="M484" s="189">
        <f t="shared" ref="M484:M498" si="116">+I484/$I$514</f>
        <v>3.4220622457765347E-4</v>
      </c>
      <c r="N484" s="190">
        <f t="shared" ref="N484:N495" si="117">+N483+M484</f>
        <v>4.3276799887680831E-3</v>
      </c>
      <c r="O484" s="39"/>
      <c r="P484" s="262">
        <v>0</v>
      </c>
      <c r="Q484" s="510"/>
      <c r="R484" s="262">
        <v>0</v>
      </c>
      <c r="S484" s="510"/>
      <c r="T484" s="262">
        <v>1</v>
      </c>
      <c r="U484" s="521"/>
      <c r="V484" s="262">
        <v>1</v>
      </c>
      <c r="W484" s="510"/>
      <c r="X484" s="262">
        <v>1</v>
      </c>
      <c r="Y484" s="510"/>
    </row>
    <row r="485" spans="1:25" ht="12" customHeight="1">
      <c r="B485" s="182">
        <v>19168</v>
      </c>
      <c r="C485" s="96" t="s">
        <v>1187</v>
      </c>
      <c r="D485" s="97">
        <v>3</v>
      </c>
      <c r="E485" s="350" t="s">
        <v>1188</v>
      </c>
      <c r="F485" s="339">
        <f t="shared" si="112"/>
        <v>20.4390846110274</v>
      </c>
      <c r="G485" s="372">
        <f>I528*M485</f>
        <v>61.317253833082205</v>
      </c>
      <c r="H485" s="308">
        <v>83.83</v>
      </c>
      <c r="I485" s="114">
        <f t="shared" si="113"/>
        <v>251.49</v>
      </c>
      <c r="J485" s="39"/>
      <c r="K485" s="187">
        <f t="shared" si="114"/>
        <v>4.6346241382297051E-2</v>
      </c>
      <c r="L485" s="188">
        <f t="shared" si="115"/>
        <v>0.84631233264471561</v>
      </c>
      <c r="M485" s="189">
        <f t="shared" si="116"/>
        <v>2.5072525395202936E-4</v>
      </c>
      <c r="N485" s="190">
        <f t="shared" si="117"/>
        <v>4.578405242720112E-3</v>
      </c>
      <c r="O485" s="39"/>
      <c r="P485" s="262">
        <v>0</v>
      </c>
      <c r="Q485" s="510"/>
      <c r="R485" s="262">
        <v>0</v>
      </c>
      <c r="S485" s="510"/>
      <c r="T485" s="262">
        <v>1</v>
      </c>
      <c r="U485" s="521"/>
      <c r="V485" s="262">
        <v>1</v>
      </c>
      <c r="W485" s="510"/>
      <c r="X485" s="262">
        <v>1</v>
      </c>
      <c r="Y485" s="510"/>
    </row>
    <row r="486" spans="1:25" ht="12" customHeight="1">
      <c r="B486" s="182">
        <v>19169</v>
      </c>
      <c r="C486" s="96" t="s">
        <v>1189</v>
      </c>
      <c r="D486" s="97">
        <v>1</v>
      </c>
      <c r="E486" s="350" t="s">
        <v>1190</v>
      </c>
      <c r="F486" s="339">
        <f t="shared" si="112"/>
        <v>20.4390846110274</v>
      </c>
      <c r="G486" s="372">
        <f>I528*M486</f>
        <v>20.4390846110274</v>
      </c>
      <c r="H486" s="308">
        <v>83.83</v>
      </c>
      <c r="I486" s="114">
        <f t="shared" si="113"/>
        <v>83.83</v>
      </c>
      <c r="J486" s="39"/>
      <c r="K486" s="187">
        <f t="shared" si="114"/>
        <v>1.544874712743235E-2</v>
      </c>
      <c r="L486" s="188">
        <f t="shared" si="115"/>
        <v>0.861761079772148</v>
      </c>
      <c r="M486" s="189">
        <f t="shared" si="116"/>
        <v>8.3575084650676455E-5</v>
      </c>
      <c r="N486" s="190">
        <f t="shared" si="117"/>
        <v>4.6619803273707881E-3</v>
      </c>
      <c r="O486" s="39"/>
      <c r="P486" s="262">
        <v>0</v>
      </c>
      <c r="Q486" s="510"/>
      <c r="R486" s="262">
        <v>0</v>
      </c>
      <c r="S486" s="510"/>
      <c r="T486" s="262">
        <v>1</v>
      </c>
      <c r="U486" s="521"/>
      <c r="V486" s="262">
        <v>1</v>
      </c>
      <c r="W486" s="510"/>
      <c r="X486" s="262">
        <v>1</v>
      </c>
      <c r="Y486" s="510"/>
    </row>
    <row r="487" spans="1:25" ht="12" customHeight="1">
      <c r="B487" s="182">
        <v>19170</v>
      </c>
      <c r="C487" s="96" t="s">
        <v>1191</v>
      </c>
      <c r="D487" s="97">
        <v>1</v>
      </c>
      <c r="E487" s="350" t="s">
        <v>1192</v>
      </c>
      <c r="F487" s="339">
        <f t="shared" si="112"/>
        <v>20.4390846110274</v>
      </c>
      <c r="G487" s="372">
        <f>I528*M487</f>
        <v>20.4390846110274</v>
      </c>
      <c r="H487" s="308">
        <v>83.83</v>
      </c>
      <c r="I487" s="114">
        <f t="shared" si="113"/>
        <v>83.83</v>
      </c>
      <c r="J487" s="39"/>
      <c r="K487" s="187">
        <f t="shared" si="114"/>
        <v>1.544874712743235E-2</v>
      </c>
      <c r="L487" s="188">
        <f t="shared" si="115"/>
        <v>0.87720982689958038</v>
      </c>
      <c r="M487" s="189">
        <f t="shared" si="116"/>
        <v>8.3575084650676455E-5</v>
      </c>
      <c r="N487" s="190">
        <f t="shared" si="117"/>
        <v>4.7455554120214641E-3</v>
      </c>
      <c r="O487" s="39"/>
      <c r="P487" s="262">
        <v>0</v>
      </c>
      <c r="Q487" s="510"/>
      <c r="R487" s="262">
        <v>0</v>
      </c>
      <c r="S487" s="510"/>
      <c r="T487" s="262">
        <v>1</v>
      </c>
      <c r="U487" s="521"/>
      <c r="V487" s="262">
        <v>1</v>
      </c>
      <c r="W487" s="510"/>
      <c r="X487" s="262">
        <v>1</v>
      </c>
      <c r="Y487" s="510"/>
    </row>
    <row r="488" spans="1:25" ht="12" customHeight="1">
      <c r="B488" s="182">
        <v>19171</v>
      </c>
      <c r="C488" s="96" t="s">
        <v>1193</v>
      </c>
      <c r="D488" s="97">
        <v>6</v>
      </c>
      <c r="E488" s="350" t="s">
        <v>1194</v>
      </c>
      <c r="F488" s="339">
        <f t="shared" si="112"/>
        <v>1.7067111091159706</v>
      </c>
      <c r="G488" s="372">
        <f>I528*M488</f>
        <v>10.240266654695823</v>
      </c>
      <c r="H488" s="308">
        <v>7</v>
      </c>
      <c r="I488" s="114">
        <f t="shared" si="113"/>
        <v>42</v>
      </c>
      <c r="J488" s="39"/>
      <c r="K488" s="187">
        <f t="shared" si="114"/>
        <v>7.7400379261858372E-3</v>
      </c>
      <c r="L488" s="188">
        <f t="shared" si="115"/>
        <v>0.88494986482576621</v>
      </c>
      <c r="M488" s="189">
        <f t="shared" si="116"/>
        <v>4.1872283852181927E-5</v>
      </c>
      <c r="N488" s="190">
        <f t="shared" si="117"/>
        <v>4.7874276958736464E-3</v>
      </c>
      <c r="O488" s="39"/>
      <c r="P488" s="262">
        <v>0</v>
      </c>
      <c r="Q488" s="510"/>
      <c r="R488" s="262">
        <v>0</v>
      </c>
      <c r="S488" s="510"/>
      <c r="T488" s="262">
        <v>1</v>
      </c>
      <c r="U488" s="521"/>
      <c r="V488" s="262">
        <v>1</v>
      </c>
      <c r="W488" s="510"/>
      <c r="X488" s="262">
        <v>1</v>
      </c>
      <c r="Y488" s="510"/>
    </row>
    <row r="489" spans="1:25" ht="12" customHeight="1">
      <c r="B489" s="182">
        <v>19172</v>
      </c>
      <c r="C489" s="96" t="s">
        <v>1195</v>
      </c>
      <c r="D489" s="97">
        <v>8</v>
      </c>
      <c r="E489" s="350" t="s">
        <v>1196</v>
      </c>
      <c r="F489" s="339">
        <f t="shared" si="112"/>
        <v>2.3991481876715923</v>
      </c>
      <c r="G489" s="372">
        <f>I528*M489</f>
        <v>19.193185501372739</v>
      </c>
      <c r="H489" s="308">
        <v>9.84</v>
      </c>
      <c r="I489" s="114">
        <f t="shared" si="113"/>
        <v>78.72</v>
      </c>
      <c r="J489" s="39"/>
      <c r="K489" s="187">
        <f t="shared" si="114"/>
        <v>1.450704251307974E-2</v>
      </c>
      <c r="L489" s="188">
        <f t="shared" si="115"/>
        <v>0.89945690733884598</v>
      </c>
      <c r="M489" s="189">
        <f t="shared" si="116"/>
        <v>7.8480623448660977E-5</v>
      </c>
      <c r="N489" s="190">
        <f t="shared" si="117"/>
        <v>4.8659083193223077E-3</v>
      </c>
      <c r="O489" s="39"/>
      <c r="P489" s="262">
        <v>0</v>
      </c>
      <c r="Q489" s="510"/>
      <c r="R489" s="262">
        <v>0</v>
      </c>
      <c r="S489" s="510"/>
      <c r="T489" s="262">
        <v>1</v>
      </c>
      <c r="U489" s="521"/>
      <c r="V489" s="262">
        <v>1</v>
      </c>
      <c r="W489" s="510"/>
      <c r="X489" s="262">
        <v>1</v>
      </c>
      <c r="Y489" s="510"/>
    </row>
    <row r="490" spans="1:25" ht="12" customHeight="1">
      <c r="B490" s="182">
        <v>19173</v>
      </c>
      <c r="C490" s="96" t="s">
        <v>1197</v>
      </c>
      <c r="D490" s="97">
        <v>2</v>
      </c>
      <c r="E490" s="350" t="s">
        <v>1198</v>
      </c>
      <c r="F490" s="339">
        <f t="shared" si="112"/>
        <v>1.0581608876519015</v>
      </c>
      <c r="G490" s="372">
        <f>I528*M490</f>
        <v>2.1163217753038031</v>
      </c>
      <c r="H490" s="308">
        <v>4.34</v>
      </c>
      <c r="I490" s="114">
        <f t="shared" si="113"/>
        <v>8.68</v>
      </c>
      <c r="J490" s="39"/>
      <c r="K490" s="187">
        <f t="shared" si="114"/>
        <v>1.5996078380784062E-3</v>
      </c>
      <c r="L490" s="188">
        <f t="shared" si="115"/>
        <v>0.90105651517692442</v>
      </c>
      <c r="M490" s="189">
        <f t="shared" si="116"/>
        <v>8.6536053294509305E-6</v>
      </c>
      <c r="N490" s="190">
        <f t="shared" si="117"/>
        <v>4.8745619246517583E-3</v>
      </c>
      <c r="O490" s="39"/>
      <c r="P490" s="262">
        <v>0</v>
      </c>
      <c r="Q490" s="510"/>
      <c r="R490" s="262">
        <v>0</v>
      </c>
      <c r="S490" s="510"/>
      <c r="T490" s="262">
        <v>1</v>
      </c>
      <c r="U490" s="521"/>
      <c r="V490" s="262">
        <v>1</v>
      </c>
      <c r="W490" s="510"/>
      <c r="X490" s="262">
        <v>1</v>
      </c>
      <c r="Y490" s="510"/>
    </row>
    <row r="491" spans="1:25" ht="12" customHeight="1">
      <c r="B491" s="182">
        <v>19174</v>
      </c>
      <c r="C491" s="96" t="s">
        <v>1199</v>
      </c>
      <c r="D491" s="97">
        <v>1</v>
      </c>
      <c r="E491" s="350" t="s">
        <v>1200</v>
      </c>
      <c r="F491" s="339">
        <f t="shared" si="112"/>
        <v>3.5158248847788989</v>
      </c>
      <c r="G491" s="372">
        <f>I528*M491</f>
        <v>3.5158248847788989</v>
      </c>
      <c r="H491" s="308">
        <v>14.42</v>
      </c>
      <c r="I491" s="114">
        <f t="shared" si="113"/>
        <v>14.42</v>
      </c>
      <c r="J491" s="39"/>
      <c r="K491" s="187">
        <f t="shared" si="114"/>
        <v>2.6574130213238042E-3</v>
      </c>
      <c r="L491" s="188">
        <f t="shared" si="115"/>
        <v>0.90371392819824825</v>
      </c>
      <c r="M491" s="189">
        <f t="shared" si="116"/>
        <v>1.4376150789249128E-5</v>
      </c>
      <c r="N491" s="190">
        <f t="shared" si="117"/>
        <v>4.8889380754410074E-3</v>
      </c>
      <c r="O491" s="39"/>
      <c r="P491" s="262">
        <v>0</v>
      </c>
      <c r="Q491" s="510"/>
      <c r="R491" s="262">
        <v>0</v>
      </c>
      <c r="S491" s="510"/>
      <c r="T491" s="262">
        <v>1</v>
      </c>
      <c r="U491" s="521"/>
      <c r="V491" s="262">
        <v>1</v>
      </c>
      <c r="W491" s="510"/>
      <c r="X491" s="262">
        <v>1</v>
      </c>
      <c r="Y491" s="510"/>
    </row>
    <row r="492" spans="1:25" ht="12" customHeight="1">
      <c r="B492" s="182">
        <v>19175</v>
      </c>
      <c r="C492" s="96" t="s">
        <v>1201</v>
      </c>
      <c r="D492" s="97">
        <v>2</v>
      </c>
      <c r="E492" s="350" t="s">
        <v>1202</v>
      </c>
      <c r="F492" s="339">
        <f t="shared" si="112"/>
        <v>1.631128188569406</v>
      </c>
      <c r="G492" s="372">
        <f>I528*M492</f>
        <v>3.262256377138812</v>
      </c>
      <c r="H492" s="308">
        <v>6.69</v>
      </c>
      <c r="I492" s="114">
        <f t="shared" si="113"/>
        <v>13.38</v>
      </c>
      <c r="J492" s="39"/>
      <c r="K492" s="187">
        <f t="shared" si="114"/>
        <v>2.4657549393420596E-3</v>
      </c>
      <c r="L492" s="188">
        <f t="shared" si="115"/>
        <v>0.90617968313759034</v>
      </c>
      <c r="M492" s="189">
        <f t="shared" si="116"/>
        <v>1.3339313284337957E-5</v>
      </c>
      <c r="N492" s="190">
        <f t="shared" si="117"/>
        <v>4.9022773887253453E-3</v>
      </c>
      <c r="O492" s="39"/>
      <c r="P492" s="262">
        <v>0</v>
      </c>
      <c r="Q492" s="510"/>
      <c r="R492" s="262">
        <v>0</v>
      </c>
      <c r="S492" s="510"/>
      <c r="T492" s="262">
        <v>1</v>
      </c>
      <c r="U492" s="521"/>
      <c r="V492" s="262">
        <v>1</v>
      </c>
      <c r="W492" s="510"/>
      <c r="X492" s="262">
        <v>1</v>
      </c>
      <c r="Y492" s="510"/>
    </row>
    <row r="493" spans="1:25" ht="12" customHeight="1">
      <c r="B493" s="182">
        <v>19176</v>
      </c>
      <c r="C493" s="96" t="s">
        <v>1203</v>
      </c>
      <c r="D493" s="97">
        <v>1</v>
      </c>
      <c r="E493" s="350" t="s">
        <v>1204</v>
      </c>
      <c r="F493" s="339">
        <f t="shared" si="112"/>
        <v>11.849451414719452</v>
      </c>
      <c r="G493" s="372">
        <f>I528*M493</f>
        <v>11.849451414719452</v>
      </c>
      <c r="H493" s="308">
        <v>48.6</v>
      </c>
      <c r="I493" s="114">
        <f t="shared" si="113"/>
        <v>48.6</v>
      </c>
      <c r="J493" s="39"/>
      <c r="K493" s="187">
        <f t="shared" si="114"/>
        <v>8.9563296003007543E-3</v>
      </c>
      <c r="L493" s="188">
        <f t="shared" si="115"/>
        <v>0.91513601273789114</v>
      </c>
      <c r="M493" s="189">
        <f t="shared" si="116"/>
        <v>4.8452214171810518E-5</v>
      </c>
      <c r="N493" s="190">
        <f t="shared" si="117"/>
        <v>4.9507296028971559E-3</v>
      </c>
      <c r="O493" s="39"/>
      <c r="P493" s="262">
        <v>0</v>
      </c>
      <c r="Q493" s="510"/>
      <c r="R493" s="262">
        <v>0</v>
      </c>
      <c r="S493" s="510"/>
      <c r="T493" s="262">
        <v>1</v>
      </c>
      <c r="U493" s="521"/>
      <c r="V493" s="262">
        <v>1</v>
      </c>
      <c r="W493" s="510"/>
      <c r="X493" s="262">
        <v>1</v>
      </c>
      <c r="Y493" s="510"/>
    </row>
    <row r="494" spans="1:25" ht="12" customHeight="1">
      <c r="B494" s="182">
        <v>19177</v>
      </c>
      <c r="C494" s="96" t="s">
        <v>1205</v>
      </c>
      <c r="D494" s="97">
        <v>1</v>
      </c>
      <c r="E494" s="350" t="s">
        <v>1206</v>
      </c>
      <c r="F494" s="339">
        <f t="shared" si="112"/>
        <v>11.849451414719452</v>
      </c>
      <c r="G494" s="372">
        <f>I528*M494</f>
        <v>11.849451414719452</v>
      </c>
      <c r="H494" s="308">
        <v>48.6</v>
      </c>
      <c r="I494" s="114">
        <f t="shared" si="113"/>
        <v>48.6</v>
      </c>
      <c r="J494" s="39"/>
      <c r="K494" s="187">
        <f t="shared" si="114"/>
        <v>8.9563296003007543E-3</v>
      </c>
      <c r="L494" s="188">
        <f t="shared" si="115"/>
        <v>0.92409234233819193</v>
      </c>
      <c r="M494" s="189">
        <f t="shared" si="116"/>
        <v>4.8452214171810518E-5</v>
      </c>
      <c r="N494" s="190">
        <f t="shared" si="117"/>
        <v>4.9991818170689664E-3</v>
      </c>
      <c r="O494" s="39"/>
      <c r="P494" s="262">
        <v>0</v>
      </c>
      <c r="Q494" s="510"/>
      <c r="R494" s="262">
        <v>0</v>
      </c>
      <c r="S494" s="510"/>
      <c r="T494" s="262">
        <v>1</v>
      </c>
      <c r="U494" s="521"/>
      <c r="V494" s="262">
        <v>1</v>
      </c>
      <c r="W494" s="510"/>
      <c r="X494" s="262">
        <v>1</v>
      </c>
      <c r="Y494" s="510"/>
    </row>
    <row r="495" spans="1:25" ht="12" customHeight="1">
      <c r="B495" s="182">
        <v>19178</v>
      </c>
      <c r="C495" s="96" t="s">
        <v>1207</v>
      </c>
      <c r="D495" s="97">
        <v>6</v>
      </c>
      <c r="E495" s="350" t="s">
        <v>1208</v>
      </c>
      <c r="F495" s="345">
        <f t="shared" si="112"/>
        <v>16.737959662973054</v>
      </c>
      <c r="G495" s="372">
        <f>I528*M495</f>
        <v>100.42775797783833</v>
      </c>
      <c r="H495" s="308">
        <v>68.650000000000006</v>
      </c>
      <c r="I495" s="114">
        <f t="shared" si="113"/>
        <v>411.90000000000003</v>
      </c>
      <c r="J495" s="39"/>
      <c r="K495" s="187">
        <f t="shared" si="114"/>
        <v>7.590765766180825E-2</v>
      </c>
      <c r="L495" s="188">
        <f t="shared" si="115"/>
        <v>1.0000000000000002</v>
      </c>
      <c r="M495" s="189">
        <f t="shared" si="116"/>
        <v>4.1064746949318423E-4</v>
      </c>
      <c r="N495" s="191">
        <f t="shared" si="117"/>
        <v>5.4098292865621504E-3</v>
      </c>
      <c r="O495" s="39"/>
      <c r="P495" s="262">
        <v>0</v>
      </c>
      <c r="Q495" s="511"/>
      <c r="R495" s="262">
        <v>0</v>
      </c>
      <c r="S495" s="511"/>
      <c r="T495" s="262">
        <v>1</v>
      </c>
      <c r="U495" s="522"/>
      <c r="V495" s="262">
        <v>1</v>
      </c>
      <c r="W495" s="511"/>
      <c r="X495" s="262">
        <v>1</v>
      </c>
      <c r="Y495" s="511"/>
    </row>
    <row r="496" spans="1:25" ht="12" customHeight="1">
      <c r="A496" s="291" t="s">
        <v>70</v>
      </c>
      <c r="B496" s="158"/>
      <c r="C496" s="159" t="s">
        <v>1209</v>
      </c>
      <c r="D496" s="160"/>
      <c r="E496" s="359"/>
      <c r="F496" s="394">
        <f>+G496/D$3</f>
        <v>0.87038514573823378</v>
      </c>
      <c r="G496" s="377">
        <f>SUM(G497:G509)</f>
        <v>801.45934604722299</v>
      </c>
      <c r="H496" s="313"/>
      <c r="I496" s="161">
        <f>SUM(I497:I509)</f>
        <v>3287.1500000000005</v>
      </c>
      <c r="J496" s="39"/>
      <c r="K496" s="552" t="str">
        <f>+C496</f>
        <v>SPDA</v>
      </c>
      <c r="L496" s="553"/>
      <c r="M496" s="170">
        <f t="shared" si="116"/>
        <v>3.2771542348738057E-3</v>
      </c>
      <c r="N496" s="171"/>
      <c r="O496" s="38"/>
      <c r="P496" s="261">
        <f>SUMPRODUCT( P497:P509,$M$497:$M$509)</f>
        <v>0</v>
      </c>
      <c r="Q496" s="510">
        <f>+P496/$M$496</f>
        <v>0</v>
      </c>
      <c r="R496" s="261">
        <f>SUMPRODUCT( R497:R509,$M$497:$M$509)</f>
        <v>3.1639495246020137E-4</v>
      </c>
      <c r="S496" s="510">
        <f>+R496/$M$496</f>
        <v>9.6545639839982961E-2</v>
      </c>
      <c r="T496" s="261">
        <f>SUMPRODUCT( T497:T509,$M$497:$M$509)</f>
        <v>0</v>
      </c>
      <c r="U496" s="521">
        <f>+T496/$M$496</f>
        <v>0</v>
      </c>
      <c r="V496" s="261">
        <f>SUMPRODUCT( V497:V509,$M$497:$M$509)</f>
        <v>3.2771542348738053E-3</v>
      </c>
      <c r="W496" s="510">
        <f>+V496/$M$496</f>
        <v>0.99999999999999989</v>
      </c>
      <c r="X496" s="261">
        <f>SUMPRODUCT( X497:X509,$M$497:$M$509)</f>
        <v>3.2771542348738053E-3</v>
      </c>
      <c r="Y496" s="510">
        <f>+X496/$M$496</f>
        <v>0.99999999999999989</v>
      </c>
    </row>
    <row r="497" spans="1:25" ht="12" customHeight="1">
      <c r="B497" s="182">
        <v>19179</v>
      </c>
      <c r="C497" s="96" t="s">
        <v>1210</v>
      </c>
      <c r="D497" s="97">
        <v>276</v>
      </c>
      <c r="E497" s="350" t="s">
        <v>1211</v>
      </c>
      <c r="F497" s="346">
        <f t="shared" si="112"/>
        <v>1.962717775483366</v>
      </c>
      <c r="G497" s="372">
        <f>I528*M497</f>
        <v>541.71010603340903</v>
      </c>
      <c r="H497" s="308">
        <v>8.0500000000000007</v>
      </c>
      <c r="I497" s="114">
        <f t="shared" ref="I497:I509" si="118">$D497*$H497</f>
        <v>2221.8000000000002</v>
      </c>
      <c r="J497" s="39"/>
      <c r="K497" s="187">
        <f>+I497/$I$496</f>
        <v>0.67590465905115371</v>
      </c>
      <c r="L497" s="188">
        <f>+K497</f>
        <v>0.67590465905115371</v>
      </c>
      <c r="M497" s="189">
        <f t="shared" si="116"/>
        <v>2.215043815780424E-3</v>
      </c>
      <c r="N497" s="190">
        <f>+M497</f>
        <v>2.215043815780424E-3</v>
      </c>
      <c r="O497" s="39"/>
      <c r="P497" s="262">
        <v>0</v>
      </c>
      <c r="Q497" s="510"/>
      <c r="R497" s="262">
        <v>0</v>
      </c>
      <c r="S497" s="510"/>
      <c r="T497" s="262">
        <v>0</v>
      </c>
      <c r="U497" s="521"/>
      <c r="V497" s="262">
        <v>1</v>
      </c>
      <c r="W497" s="510"/>
      <c r="X497" s="262">
        <v>1</v>
      </c>
      <c r="Y497" s="510"/>
    </row>
    <row r="498" spans="1:25" ht="12" customHeight="1">
      <c r="B498" s="182">
        <v>19180</v>
      </c>
      <c r="C498" s="96" t="s">
        <v>1212</v>
      </c>
      <c r="D498" s="97">
        <v>27</v>
      </c>
      <c r="E498" s="350" t="s">
        <v>1213</v>
      </c>
      <c r="F498" s="339">
        <f t="shared" si="112"/>
        <v>0.68024628491907968</v>
      </c>
      <c r="G498" s="372">
        <f>I528*M498</f>
        <v>18.366649692815152</v>
      </c>
      <c r="H498" s="308">
        <v>2.79</v>
      </c>
      <c r="I498" s="114">
        <f t="shared" si="118"/>
        <v>75.33</v>
      </c>
      <c r="J498" s="39"/>
      <c r="K498" s="187">
        <f>+I498/$I$496</f>
        <v>2.2916508221407599E-2</v>
      </c>
      <c r="L498" s="188">
        <f>+L497+K498</f>
        <v>0.69882116727256127</v>
      </c>
      <c r="M498" s="189">
        <f t="shared" si="116"/>
        <v>7.5100931966306302E-5</v>
      </c>
      <c r="N498" s="190">
        <f>+N497+M498</f>
        <v>2.2901447477467305E-3</v>
      </c>
      <c r="O498" s="39"/>
      <c r="P498" s="262">
        <v>0</v>
      </c>
      <c r="Q498" s="510"/>
      <c r="R498" s="262">
        <v>0</v>
      </c>
      <c r="S498" s="510"/>
      <c r="T498" s="262">
        <v>0</v>
      </c>
      <c r="U498" s="521"/>
      <c r="V498" s="262">
        <v>1</v>
      </c>
      <c r="W498" s="510"/>
      <c r="X498" s="262">
        <v>1</v>
      </c>
      <c r="Y498" s="510"/>
    </row>
    <row r="499" spans="1:25" ht="12" customHeight="1">
      <c r="B499" s="182">
        <v>19181</v>
      </c>
      <c r="C499" s="96" t="s">
        <v>1214</v>
      </c>
      <c r="D499" s="97">
        <v>27</v>
      </c>
      <c r="E499" s="350" t="s">
        <v>1215</v>
      </c>
      <c r="F499" s="339">
        <f t="shared" si="112"/>
        <v>1.5823650140232357</v>
      </c>
      <c r="G499" s="372">
        <f>I528*M499</f>
        <v>42.723855378627363</v>
      </c>
      <c r="H499" s="308">
        <v>6.49</v>
      </c>
      <c r="I499" s="114">
        <f t="shared" si="118"/>
        <v>175.23000000000002</v>
      </c>
      <c r="J499" s="39"/>
      <c r="K499" s="187">
        <f t="shared" ref="K499:K509" si="119">+I499/$I$496</f>
        <v>5.3307576472019828E-2</v>
      </c>
      <c r="L499" s="188">
        <f t="shared" ref="L499:L509" si="120">+L498+K499</f>
        <v>0.75212874374458105</v>
      </c>
      <c r="M499" s="189">
        <f t="shared" ref="M499:M512" si="121">+I499/$I$514</f>
        <v>1.7469714998613904E-4</v>
      </c>
      <c r="N499" s="190">
        <f t="shared" ref="N499:N509" si="122">+N498+M499</f>
        <v>2.4648418977328695E-3</v>
      </c>
      <c r="O499" s="39"/>
      <c r="P499" s="262">
        <v>0</v>
      </c>
      <c r="Q499" s="510"/>
      <c r="R499" s="262">
        <v>0</v>
      </c>
      <c r="S499" s="510"/>
      <c r="T499" s="262">
        <v>0</v>
      </c>
      <c r="U499" s="521"/>
      <c r="V499" s="262">
        <v>1</v>
      </c>
      <c r="W499" s="510"/>
      <c r="X499" s="262">
        <v>1</v>
      </c>
      <c r="Y499" s="510"/>
    </row>
    <row r="500" spans="1:25" ht="12" customHeight="1">
      <c r="B500" s="182">
        <v>19182</v>
      </c>
      <c r="C500" s="96" t="s">
        <v>1216</v>
      </c>
      <c r="D500" s="97">
        <v>8</v>
      </c>
      <c r="E500" s="350" t="s">
        <v>1217</v>
      </c>
      <c r="F500" s="339">
        <f t="shared" si="112"/>
        <v>0.42911593600630116</v>
      </c>
      <c r="G500" s="372">
        <f>I528*M500</f>
        <v>3.4329274880504093</v>
      </c>
      <c r="H500" s="308">
        <v>1.76</v>
      </c>
      <c r="I500" s="114">
        <f t="shared" si="118"/>
        <v>14.08</v>
      </c>
      <c r="J500" s="39"/>
      <c r="K500" s="187">
        <f t="shared" si="119"/>
        <v>4.2833457554416433E-3</v>
      </c>
      <c r="L500" s="188">
        <f t="shared" si="120"/>
        <v>0.7564120895000227</v>
      </c>
      <c r="M500" s="189">
        <f t="shared" si="121"/>
        <v>1.4037184681874323E-5</v>
      </c>
      <c r="N500" s="190">
        <f t="shared" si="122"/>
        <v>2.4788790824147437E-3</v>
      </c>
      <c r="O500" s="39"/>
      <c r="P500" s="262">
        <v>0</v>
      </c>
      <c r="Q500" s="510"/>
      <c r="R500" s="262">
        <v>0</v>
      </c>
      <c r="S500" s="510"/>
      <c r="T500" s="262">
        <v>0</v>
      </c>
      <c r="U500" s="521"/>
      <c r="V500" s="262">
        <v>1</v>
      </c>
      <c r="W500" s="510"/>
      <c r="X500" s="262">
        <v>1</v>
      </c>
      <c r="Y500" s="510"/>
    </row>
    <row r="501" spans="1:25" ht="12" customHeight="1">
      <c r="B501" s="182">
        <v>19183</v>
      </c>
      <c r="C501" s="96" t="s">
        <v>1218</v>
      </c>
      <c r="D501" s="97">
        <v>24</v>
      </c>
      <c r="E501" s="350" t="s">
        <v>1219</v>
      </c>
      <c r="F501" s="339">
        <f t="shared" si="112"/>
        <v>0.63879758655483465</v>
      </c>
      <c r="G501" s="372">
        <f>I528*M501</f>
        <v>15.331142077316031</v>
      </c>
      <c r="H501" s="308">
        <v>2.62</v>
      </c>
      <c r="I501" s="114">
        <f t="shared" si="118"/>
        <v>62.88</v>
      </c>
      <c r="J501" s="39"/>
      <c r="K501" s="187">
        <f t="shared" si="119"/>
        <v>1.9129032748733704E-2</v>
      </c>
      <c r="L501" s="188">
        <f t="shared" si="120"/>
        <v>0.77554112224875638</v>
      </c>
      <c r="M501" s="189">
        <f t="shared" si="121"/>
        <v>6.268879068155237E-5</v>
      </c>
      <c r="N501" s="190">
        <f t="shared" si="122"/>
        <v>2.541567873096296E-3</v>
      </c>
      <c r="O501" s="39"/>
      <c r="P501" s="262">
        <v>0</v>
      </c>
      <c r="Q501" s="510"/>
      <c r="R501" s="262">
        <v>0</v>
      </c>
      <c r="S501" s="510"/>
      <c r="T501" s="262">
        <v>0</v>
      </c>
      <c r="U501" s="521"/>
      <c r="V501" s="262">
        <v>1</v>
      </c>
      <c r="W501" s="510"/>
      <c r="X501" s="262">
        <v>1</v>
      </c>
      <c r="Y501" s="510"/>
    </row>
    <row r="502" spans="1:25" ht="12" customHeight="1">
      <c r="B502" s="182">
        <v>19184</v>
      </c>
      <c r="C502" s="96" t="s">
        <v>1220</v>
      </c>
      <c r="D502" s="97">
        <v>1</v>
      </c>
      <c r="E502" s="350" t="s">
        <v>1221</v>
      </c>
      <c r="F502" s="339">
        <f t="shared" si="112"/>
        <v>13.168495286193366</v>
      </c>
      <c r="G502" s="372">
        <f>I528*M502</f>
        <v>13.168495286193366</v>
      </c>
      <c r="H502" s="308">
        <v>54.01</v>
      </c>
      <c r="I502" s="114">
        <f t="shared" si="118"/>
        <v>54.01</v>
      </c>
      <c r="J502" s="39"/>
      <c r="K502" s="187">
        <f t="shared" si="119"/>
        <v>1.6430646608764428E-2</v>
      </c>
      <c r="L502" s="188">
        <f t="shared" si="120"/>
        <v>0.79197176885752085</v>
      </c>
      <c r="M502" s="189">
        <f t="shared" si="121"/>
        <v>5.3845763115627279E-5</v>
      </c>
      <c r="N502" s="190">
        <f t="shared" si="122"/>
        <v>2.5954136362119234E-3</v>
      </c>
      <c r="O502" s="39"/>
      <c r="P502" s="262">
        <v>0</v>
      </c>
      <c r="Q502" s="510"/>
      <c r="R502" s="262">
        <v>0</v>
      </c>
      <c r="S502" s="510"/>
      <c r="T502" s="262">
        <v>0</v>
      </c>
      <c r="U502" s="521"/>
      <c r="V502" s="262">
        <v>1</v>
      </c>
      <c r="W502" s="510"/>
      <c r="X502" s="262">
        <v>1</v>
      </c>
      <c r="Y502" s="510"/>
    </row>
    <row r="503" spans="1:25" ht="12" customHeight="1">
      <c r="B503" s="182">
        <v>19185</v>
      </c>
      <c r="C503" s="96" t="s">
        <v>1222</v>
      </c>
      <c r="D503" s="97">
        <v>1</v>
      </c>
      <c r="E503" s="350" t="s">
        <v>1223</v>
      </c>
      <c r="F503" s="339">
        <f t="shared" si="112"/>
        <v>17.925342963172305</v>
      </c>
      <c r="G503" s="372">
        <f>I528*M503</f>
        <v>17.925342963172305</v>
      </c>
      <c r="H503" s="308">
        <v>73.52</v>
      </c>
      <c r="I503" s="114">
        <f t="shared" si="118"/>
        <v>73.52</v>
      </c>
      <c r="J503" s="39"/>
      <c r="K503" s="187">
        <f t="shared" si="119"/>
        <v>2.2365879257107216E-2</v>
      </c>
      <c r="L503" s="188">
        <f t="shared" si="120"/>
        <v>0.81433764811462805</v>
      </c>
      <c r="M503" s="189">
        <f t="shared" si="121"/>
        <v>7.329643592410512E-5</v>
      </c>
      <c r="N503" s="190">
        <f t="shared" si="122"/>
        <v>2.6687100721360284E-3</v>
      </c>
      <c r="O503" s="39"/>
      <c r="P503" s="262">
        <v>0</v>
      </c>
      <c r="Q503" s="510"/>
      <c r="R503" s="262">
        <v>0</v>
      </c>
      <c r="S503" s="510"/>
      <c r="T503" s="262">
        <v>0</v>
      </c>
      <c r="U503" s="521"/>
      <c r="V503" s="262">
        <v>1</v>
      </c>
      <c r="W503" s="510"/>
      <c r="X503" s="262">
        <v>1</v>
      </c>
      <c r="Y503" s="510"/>
    </row>
    <row r="504" spans="1:25" ht="12" customHeight="1">
      <c r="B504" s="182">
        <v>19186</v>
      </c>
      <c r="C504" s="96" t="s">
        <v>1224</v>
      </c>
      <c r="D504" s="97">
        <v>1</v>
      </c>
      <c r="E504" s="350" t="s">
        <v>1225</v>
      </c>
      <c r="F504" s="339">
        <f t="shared" si="112"/>
        <v>20.019721309930333</v>
      </c>
      <c r="G504" s="372">
        <f>I528*M504</f>
        <v>20.019721309930333</v>
      </c>
      <c r="H504" s="308">
        <v>82.11</v>
      </c>
      <c r="I504" s="114">
        <f t="shared" si="118"/>
        <v>82.11</v>
      </c>
      <c r="J504" s="39"/>
      <c r="K504" s="187">
        <f t="shared" si="119"/>
        <v>2.4979085225803502E-2</v>
      </c>
      <c r="L504" s="188">
        <f t="shared" si="120"/>
        <v>0.83931673334043155</v>
      </c>
      <c r="M504" s="189">
        <f t="shared" si="121"/>
        <v>8.1860314931015665E-5</v>
      </c>
      <c r="N504" s="190">
        <f t="shared" si="122"/>
        <v>2.7505703870670441E-3</v>
      </c>
      <c r="O504" s="39"/>
      <c r="P504" s="262">
        <v>0</v>
      </c>
      <c r="Q504" s="510"/>
      <c r="R504" s="262">
        <v>0</v>
      </c>
      <c r="S504" s="510"/>
      <c r="T504" s="262">
        <v>0</v>
      </c>
      <c r="U504" s="521"/>
      <c r="V504" s="262">
        <v>1</v>
      </c>
      <c r="W504" s="510"/>
      <c r="X504" s="262">
        <v>1</v>
      </c>
      <c r="Y504" s="510"/>
    </row>
    <row r="505" spans="1:25" ht="12" customHeight="1">
      <c r="B505" s="182">
        <v>19187</v>
      </c>
      <c r="C505" s="96" t="s">
        <v>1226</v>
      </c>
      <c r="D505" s="97">
        <v>1</v>
      </c>
      <c r="E505" s="350" t="s">
        <v>1227</v>
      </c>
      <c r="F505" s="339">
        <f t="shared" si="112"/>
        <v>20.019721309930333</v>
      </c>
      <c r="G505" s="372">
        <f>I528*M505</f>
        <v>20.019721309930333</v>
      </c>
      <c r="H505" s="308">
        <v>82.11</v>
      </c>
      <c r="I505" s="114">
        <f t="shared" si="118"/>
        <v>82.11</v>
      </c>
      <c r="J505" s="39"/>
      <c r="K505" s="187">
        <f t="shared" si="119"/>
        <v>2.4979085225803502E-2</v>
      </c>
      <c r="L505" s="188">
        <f t="shared" si="120"/>
        <v>0.86429581856623505</v>
      </c>
      <c r="M505" s="189">
        <f t="shared" si="121"/>
        <v>8.1860314931015665E-5</v>
      </c>
      <c r="N505" s="190">
        <f t="shared" si="122"/>
        <v>2.8324307019980599E-3</v>
      </c>
      <c r="O505" s="39"/>
      <c r="P505" s="262">
        <v>0</v>
      </c>
      <c r="Q505" s="510"/>
      <c r="R505" s="262">
        <v>0</v>
      </c>
      <c r="S505" s="510"/>
      <c r="T505" s="262">
        <v>0</v>
      </c>
      <c r="U505" s="521"/>
      <c r="V505" s="262">
        <v>1</v>
      </c>
      <c r="W505" s="510"/>
      <c r="X505" s="262">
        <v>1</v>
      </c>
      <c r="Y505" s="510"/>
    </row>
    <row r="506" spans="1:25" ht="12" customHeight="1">
      <c r="B506" s="182">
        <v>19188</v>
      </c>
      <c r="C506" s="96" t="s">
        <v>1228</v>
      </c>
      <c r="D506" s="97">
        <v>8</v>
      </c>
      <c r="E506" s="350" t="s">
        <v>1229</v>
      </c>
      <c r="F506" s="339">
        <f t="shared" si="112"/>
        <v>0.99476876074188003</v>
      </c>
      <c r="G506" s="372">
        <f>I528*M506</f>
        <v>7.9581500859350403</v>
      </c>
      <c r="H506" s="308">
        <v>4.08</v>
      </c>
      <c r="I506" s="114">
        <f t="shared" si="118"/>
        <v>32.64</v>
      </c>
      <c r="J506" s="39"/>
      <c r="K506" s="187">
        <f t="shared" si="119"/>
        <v>9.9295742512510825E-3</v>
      </c>
      <c r="L506" s="188">
        <f t="shared" si="120"/>
        <v>0.87422539281748612</v>
      </c>
      <c r="M506" s="189">
        <f t="shared" si="121"/>
        <v>3.2540746307981387E-5</v>
      </c>
      <c r="N506" s="190">
        <f t="shared" si="122"/>
        <v>2.8649714483060412E-3</v>
      </c>
      <c r="O506" s="39"/>
      <c r="P506" s="262">
        <v>0</v>
      </c>
      <c r="Q506" s="510"/>
      <c r="R506" s="262">
        <v>0</v>
      </c>
      <c r="S506" s="510"/>
      <c r="T506" s="262">
        <v>0</v>
      </c>
      <c r="U506" s="521"/>
      <c r="V506" s="262">
        <v>1</v>
      </c>
      <c r="W506" s="510"/>
      <c r="X506" s="262">
        <v>1</v>
      </c>
      <c r="Y506" s="510"/>
    </row>
    <row r="507" spans="1:25" ht="12" customHeight="1">
      <c r="B507" s="182">
        <v>19189</v>
      </c>
      <c r="C507" s="96" t="s">
        <v>1230</v>
      </c>
      <c r="D507" s="97">
        <v>8</v>
      </c>
      <c r="E507" s="350" t="s">
        <v>1231</v>
      </c>
      <c r="F507" s="339">
        <f t="shared" si="112"/>
        <v>2.3991481876715923</v>
      </c>
      <c r="G507" s="372">
        <f>I528*M507</f>
        <v>19.193185501372739</v>
      </c>
      <c r="H507" s="308">
        <v>9.84</v>
      </c>
      <c r="I507" s="114">
        <f t="shared" si="118"/>
        <v>78.72</v>
      </c>
      <c r="J507" s="39"/>
      <c r="K507" s="187">
        <f t="shared" si="119"/>
        <v>2.3947796723605551E-2</v>
      </c>
      <c r="L507" s="188">
        <f t="shared" si="120"/>
        <v>0.89817318954109171</v>
      </c>
      <c r="M507" s="189">
        <f t="shared" si="121"/>
        <v>7.8480623448660977E-5</v>
      </c>
      <c r="N507" s="190">
        <f t="shared" si="122"/>
        <v>2.9434520717547021E-3</v>
      </c>
      <c r="O507" s="39"/>
      <c r="P507" s="262">
        <v>0</v>
      </c>
      <c r="Q507" s="510"/>
      <c r="R507" s="262">
        <v>0</v>
      </c>
      <c r="S507" s="510"/>
      <c r="T507" s="262">
        <v>0</v>
      </c>
      <c r="U507" s="521"/>
      <c r="V507" s="262">
        <v>1</v>
      </c>
      <c r="W507" s="510"/>
      <c r="X507" s="262">
        <v>1</v>
      </c>
      <c r="Y507" s="510"/>
    </row>
    <row r="508" spans="1:25" ht="12" customHeight="1">
      <c r="B508" s="182">
        <v>19190</v>
      </c>
      <c r="C508" s="96" t="s">
        <v>1232</v>
      </c>
      <c r="D508" s="97">
        <v>4</v>
      </c>
      <c r="E508" s="350" t="s">
        <v>1233</v>
      </c>
      <c r="F508" s="339">
        <f t="shared" si="112"/>
        <v>1.0581608876519015</v>
      </c>
      <c r="G508" s="372">
        <f>I528*M508</f>
        <v>4.2326435506076061</v>
      </c>
      <c r="H508" s="308">
        <v>4.34</v>
      </c>
      <c r="I508" s="114">
        <f t="shared" si="118"/>
        <v>17.36</v>
      </c>
      <c r="J508" s="39"/>
      <c r="K508" s="187">
        <f t="shared" si="119"/>
        <v>5.2811706189252079E-3</v>
      </c>
      <c r="L508" s="188">
        <f t="shared" si="120"/>
        <v>0.9034543601600169</v>
      </c>
      <c r="M508" s="189">
        <f t="shared" si="121"/>
        <v>1.7307210658901861E-5</v>
      </c>
      <c r="N508" s="190">
        <f t="shared" si="122"/>
        <v>2.9607592824136041E-3</v>
      </c>
      <c r="O508" s="39"/>
      <c r="P508" s="262">
        <v>0</v>
      </c>
      <c r="Q508" s="510"/>
      <c r="R508" s="262">
        <v>0</v>
      </c>
      <c r="S508" s="510"/>
      <c r="T508" s="262">
        <v>0</v>
      </c>
      <c r="U508" s="521"/>
      <c r="V508" s="262">
        <v>1</v>
      </c>
      <c r="W508" s="510"/>
      <c r="X508" s="262">
        <v>1</v>
      </c>
      <c r="Y508" s="510"/>
    </row>
    <row r="509" spans="1:25" ht="12" customHeight="1">
      <c r="B509" s="201">
        <v>19191</v>
      </c>
      <c r="C509" s="174" t="s">
        <v>1234</v>
      </c>
      <c r="D509" s="97">
        <v>8</v>
      </c>
      <c r="E509" s="350" t="s">
        <v>1235</v>
      </c>
      <c r="F509" s="345">
        <f t="shared" si="112"/>
        <v>9.672175671232937</v>
      </c>
      <c r="G509" s="372">
        <f>I528*M509</f>
        <v>77.377405369863496</v>
      </c>
      <c r="H509" s="308">
        <v>39.67</v>
      </c>
      <c r="I509" s="114">
        <f t="shared" si="118"/>
        <v>317.36</v>
      </c>
      <c r="J509" s="39"/>
      <c r="K509" s="187">
        <f t="shared" si="119"/>
        <v>9.6545639839982947E-2</v>
      </c>
      <c r="L509" s="188">
        <f t="shared" si="120"/>
        <v>0.99999999999999989</v>
      </c>
      <c r="M509" s="189">
        <f t="shared" si="121"/>
        <v>3.1639495246020137E-4</v>
      </c>
      <c r="N509" s="191">
        <f t="shared" si="122"/>
        <v>3.2771542348738053E-3</v>
      </c>
      <c r="O509" s="39"/>
      <c r="P509" s="262">
        <v>0</v>
      </c>
      <c r="Q509" s="511"/>
      <c r="R509" s="262">
        <v>1</v>
      </c>
      <c r="S509" s="511"/>
      <c r="T509" s="262">
        <v>0</v>
      </c>
      <c r="U509" s="522"/>
      <c r="V509" s="262">
        <v>1</v>
      </c>
      <c r="W509" s="511"/>
      <c r="X509" s="262">
        <v>1</v>
      </c>
      <c r="Y509" s="511"/>
    </row>
    <row r="510" spans="1:25" s="6" customFormat="1" ht="12" customHeight="1">
      <c r="A510" s="291" t="s">
        <v>70</v>
      </c>
      <c r="B510" s="36" t="s">
        <v>1236</v>
      </c>
      <c r="C510" s="199" t="s">
        <v>1237</v>
      </c>
      <c r="D510" s="200"/>
      <c r="E510" s="200"/>
      <c r="F510" s="407">
        <f>+G510/D$3</f>
        <v>1.2642932393591753</v>
      </c>
      <c r="G510" s="380">
        <f>SUM(G511:G512)</f>
        <v>1164.1738577343222</v>
      </c>
      <c r="H510" s="325"/>
      <c r="I510" s="55">
        <f>SUM(I511:I512)</f>
        <v>4774.8074999999999</v>
      </c>
      <c r="J510" s="38"/>
      <c r="K510" s="552" t="str">
        <f>+C510</f>
        <v>Limpeza e Verificação Final</v>
      </c>
      <c r="L510" s="553"/>
      <c r="M510" s="170">
        <f t="shared" si="121"/>
        <v>4.7602879757030273E-3</v>
      </c>
      <c r="N510" s="171"/>
      <c r="O510" s="38"/>
      <c r="P510" s="261">
        <f>SUMPRODUCT( P511:P512,$M$511:$M$512)</f>
        <v>0</v>
      </c>
      <c r="Q510" s="510">
        <f>+P510/$M$510</f>
        <v>0</v>
      </c>
      <c r="R510" s="261">
        <f>SUMPRODUCT( R511:R512,$M$511:$M$512)</f>
        <v>0</v>
      </c>
      <c r="S510" s="510">
        <f>+R510/$M$510</f>
        <v>0</v>
      </c>
      <c r="T510" s="261">
        <f>SUMPRODUCT( T511:T512,$M$511:$M$512)</f>
        <v>0</v>
      </c>
      <c r="U510" s="521">
        <f>+T510/$M$510</f>
        <v>0</v>
      </c>
      <c r="V510" s="261">
        <f>SUMPRODUCT( V511:V512,$M$511:$M$512)</f>
        <v>0</v>
      </c>
      <c r="W510" s="510">
        <f>+V510/$M$510</f>
        <v>0</v>
      </c>
      <c r="X510" s="261">
        <f>SUMPRODUCT( X511:X512,$M$511:$M$512)</f>
        <v>0</v>
      </c>
      <c r="Y510" s="510">
        <f>+X510/$M$510</f>
        <v>0</v>
      </c>
    </row>
    <row r="511" spans="1:25" ht="12" customHeight="1">
      <c r="B511" s="10" t="s">
        <v>1238</v>
      </c>
      <c r="C511" s="42" t="s">
        <v>1239</v>
      </c>
      <c r="D511" s="11">
        <v>920.81</v>
      </c>
      <c r="E511" s="336" t="s">
        <v>1240</v>
      </c>
      <c r="F511" s="397">
        <f t="shared" si="112"/>
        <v>0.91430952274069854</v>
      </c>
      <c r="G511" s="387">
        <f>I528*M511</f>
        <v>841.90535163486254</v>
      </c>
      <c r="H511" s="326">
        <v>3.75</v>
      </c>
      <c r="I511" s="52">
        <f>$D511*$H511</f>
        <v>3453.0374999999999</v>
      </c>
      <c r="J511" s="39"/>
      <c r="K511" s="187">
        <f>+I511/$I$510</f>
        <v>0.72317836897089571</v>
      </c>
      <c r="L511" s="188">
        <f>+K511</f>
        <v>0.72317836897089571</v>
      </c>
      <c r="M511" s="189">
        <f t="shared" si="121"/>
        <v>3.442537294100682E-3</v>
      </c>
      <c r="N511" s="190">
        <f>+M511</f>
        <v>3.442537294100682E-3</v>
      </c>
      <c r="O511" s="39"/>
      <c r="P511" s="262">
        <v>0</v>
      </c>
      <c r="Q511" s="510"/>
      <c r="R511" s="262">
        <v>0</v>
      </c>
      <c r="S511" s="510"/>
      <c r="T511" s="262">
        <v>0</v>
      </c>
      <c r="U511" s="521"/>
      <c r="V511" s="262">
        <v>0</v>
      </c>
      <c r="W511" s="510"/>
      <c r="X511" s="262">
        <v>0</v>
      </c>
      <c r="Y511" s="510"/>
    </row>
    <row r="512" spans="1:25" ht="12" customHeight="1" thickBot="1">
      <c r="B512" s="12" t="s">
        <v>1241</v>
      </c>
      <c r="C512" s="43" t="s">
        <v>1242</v>
      </c>
      <c r="D512" s="13">
        <v>1</v>
      </c>
      <c r="E512" s="337" t="s">
        <v>1243</v>
      </c>
      <c r="F512" s="348">
        <f t="shared" si="112"/>
        <v>322.2685060994595</v>
      </c>
      <c r="G512" s="388">
        <f>I528*M512</f>
        <v>322.2685060994595</v>
      </c>
      <c r="H512" s="327">
        <v>1321.77</v>
      </c>
      <c r="I512" s="53">
        <f>$D512*$H512</f>
        <v>1321.77</v>
      </c>
      <c r="J512" s="39"/>
      <c r="K512" s="187">
        <f>+I512/$I$510</f>
        <v>0.27682163102910434</v>
      </c>
      <c r="L512" s="188">
        <f>+L511+K512</f>
        <v>1</v>
      </c>
      <c r="M512" s="189">
        <f t="shared" si="121"/>
        <v>1.3177506816023454E-3</v>
      </c>
      <c r="N512" s="191">
        <f>+N511+M512</f>
        <v>4.7602879757030273E-3</v>
      </c>
      <c r="O512" s="39"/>
      <c r="P512" s="262">
        <v>0</v>
      </c>
      <c r="Q512" s="511"/>
      <c r="R512" s="262">
        <v>0</v>
      </c>
      <c r="S512" s="511"/>
      <c r="T512" s="262">
        <v>0</v>
      </c>
      <c r="U512" s="522"/>
      <c r="V512" s="262">
        <v>0</v>
      </c>
      <c r="W512" s="511"/>
      <c r="X512" s="262">
        <v>0</v>
      </c>
      <c r="Y512" s="511"/>
    </row>
    <row r="513" spans="1:25" ht="12" customHeight="1" thickBot="1">
      <c r="B513" s="1"/>
      <c r="C513" s="41"/>
      <c r="D513" s="3"/>
      <c r="E513" s="3"/>
      <c r="G513" s="49"/>
      <c r="I513" s="49"/>
      <c r="J513" s="39"/>
      <c r="K513" s="2"/>
      <c r="L513" s="30"/>
      <c r="M513" s="30"/>
      <c r="N513" s="2"/>
      <c r="O513" s="39"/>
      <c r="P513" s="273"/>
      <c r="R513" s="273"/>
      <c r="T513" s="273"/>
      <c r="V513" s="273"/>
      <c r="X513" s="273"/>
    </row>
    <row r="514" spans="1:25" s="6" customFormat="1" ht="20.25" customHeight="1" thickBot="1">
      <c r="A514" s="291"/>
      <c r="B514" s="15" t="s">
        <v>278</v>
      </c>
      <c r="C514" s="45"/>
      <c r="D514" s="9"/>
      <c r="E514" s="9"/>
      <c r="F514" s="394">
        <f>+G514/D3</f>
        <v>189.832864543174</v>
      </c>
      <c r="G514" s="380">
        <f>G510+G496+G481+G446+G424+G403+G391+G349+G342+G317+G313+G309+G305+G299+G283+G223+G181+G172+G166+G159+G155+G140+G128+G123+G117+G110+G102+G94+G91+G89+G85+G79+G72+G67+G60+G51+G48+G44+G40+G31+G25+G20+G14+G5</f>
        <v>174800.00000000003</v>
      </c>
      <c r="H514" s="329"/>
      <c r="I514" s="406">
        <f>+I510+I496+I481+I446+I424+I403+I391+I349+I342+I317+I313+I309+I305+I299+I283+I223+I181+I172+I166+I159+I155+I140+I128+I123+I117+I110+I102+I94+I91+I89+I85+I79+I72+I67+I60+I51+I48+I44+I40+I31+I25+I20+MOT+PRE</f>
        <v>1003050.1357</v>
      </c>
      <c r="J514" s="38" t="s">
        <v>293</v>
      </c>
      <c r="L514" s="202" t="s">
        <v>1082</v>
      </c>
      <c r="M514" s="230">
        <f>+M510+M496+M481+M446+M424+M403+M391+M349+M342+M317+M313+M309+M305+M299+M283+M223+M181+M172+M166+M159+M155+M140+M128+M123+M117+M110+M102+M94+M91+M89+M85+M79+M72+M67+M60+M51+M48+M44+M40+M31+M25+M20+M14+M5</f>
        <v>1.0000000000000002</v>
      </c>
      <c r="O514" s="38"/>
      <c r="P514" s="273"/>
      <c r="Q514" s="274"/>
      <c r="R514" s="273"/>
      <c r="S514" s="290"/>
      <c r="T514" s="273"/>
      <c r="U514" s="274"/>
      <c r="V514" s="273"/>
      <c r="W514" s="290"/>
      <c r="X514" s="273"/>
      <c r="Y514" s="290"/>
    </row>
    <row r="515" spans="1:25" s="6" customFormat="1" ht="12" customHeight="1" thickBot="1">
      <c r="A515" s="291"/>
      <c r="B515" s="15" t="s">
        <v>1244</v>
      </c>
      <c r="C515" s="45"/>
      <c r="D515" s="9"/>
      <c r="E515" s="9"/>
      <c r="F515" s="399"/>
      <c r="G515" s="50"/>
      <c r="H515" s="329"/>
      <c r="I515" s="50"/>
      <c r="J515" s="38"/>
      <c r="L515" s="29"/>
      <c r="M515" s="29"/>
      <c r="O515" s="38"/>
      <c r="P515" s="273"/>
      <c r="Q515" s="274"/>
      <c r="R515" s="273"/>
      <c r="S515" s="290"/>
      <c r="T515" s="273"/>
      <c r="U515" s="274"/>
      <c r="V515" s="273"/>
      <c r="W515" s="290"/>
      <c r="X515" s="273"/>
      <c r="Y515" s="290"/>
    </row>
    <row r="516" spans="1:25" ht="12" customHeight="1" thickBot="1">
      <c r="B516" s="1"/>
      <c r="C516" s="41"/>
      <c r="D516" s="3"/>
      <c r="E516" s="3"/>
      <c r="G516" s="49"/>
      <c r="I516" s="49"/>
      <c r="J516" s="39"/>
      <c r="K516" s="2"/>
      <c r="L516" s="30"/>
      <c r="M516" s="30"/>
      <c r="N516" s="2"/>
      <c r="O516" s="39"/>
      <c r="P516" s="273"/>
      <c r="R516" s="273"/>
      <c r="T516" s="273"/>
      <c r="V516" s="273"/>
      <c r="X516" s="273"/>
    </row>
    <row r="517" spans="1:25" ht="12" customHeight="1" thickBot="1">
      <c r="B517" s="543" t="s">
        <v>1245</v>
      </c>
      <c r="C517" s="544"/>
      <c r="D517" s="544"/>
      <c r="E517" s="544"/>
      <c r="F517" s="544"/>
      <c r="G517" s="544"/>
      <c r="H517" s="544"/>
      <c r="I517" s="545"/>
      <c r="J517" s="39"/>
      <c r="K517" s="2"/>
      <c r="L517" s="30"/>
      <c r="M517" s="30"/>
      <c r="N517" s="2"/>
      <c r="O517" s="39"/>
      <c r="P517" s="273"/>
      <c r="R517" s="273"/>
      <c r="T517" s="273"/>
      <c r="V517" s="273"/>
      <c r="X517" s="273"/>
    </row>
    <row r="518" spans="1:25" ht="12" customHeight="1">
      <c r="B518" s="16" t="s">
        <v>1246</v>
      </c>
      <c r="C518" s="46"/>
      <c r="D518" s="17"/>
      <c r="E518" s="17"/>
      <c r="F518" s="400"/>
      <c r="G518" s="58"/>
      <c r="H518" s="330"/>
      <c r="I518" s="58"/>
      <c r="J518" s="39"/>
      <c r="K518" s="2"/>
      <c r="L518" s="333">
        <f>I528/G514</f>
        <v>1.3990820608037522</v>
      </c>
      <c r="M518" s="30"/>
      <c r="N518" s="2"/>
      <c r="O518" s="39"/>
      <c r="P518" s="273"/>
      <c r="R518" s="273"/>
      <c r="T518" s="273"/>
      <c r="V518" s="273"/>
      <c r="X518" s="273"/>
    </row>
    <row r="519" spans="1:25" ht="12" customHeight="1">
      <c r="B519" s="18" t="s">
        <v>280</v>
      </c>
      <c r="C519" s="47"/>
      <c r="D519" s="19"/>
      <c r="E519" s="19"/>
      <c r="F519" s="401"/>
      <c r="G519" s="61"/>
      <c r="H519" s="331"/>
      <c r="I519" s="59"/>
      <c r="J519" s="40"/>
      <c r="K519" s="2"/>
      <c r="L519" s="30"/>
      <c r="M519" s="30"/>
      <c r="N519" s="2"/>
      <c r="O519" s="39"/>
      <c r="P519" s="273"/>
      <c r="R519" s="273"/>
      <c r="T519" s="273"/>
      <c r="V519" s="273"/>
      <c r="X519" s="273"/>
    </row>
    <row r="520" spans="1:25" ht="12" customHeight="1">
      <c r="B520" s="22" t="s">
        <v>279</v>
      </c>
      <c r="J520" s="39"/>
      <c r="K520" s="2"/>
      <c r="L520" s="30"/>
      <c r="M520" s="30"/>
      <c r="N520" s="2"/>
      <c r="O520" s="39"/>
      <c r="P520" s="273"/>
      <c r="R520" s="273"/>
      <c r="T520" s="273"/>
      <c r="V520" s="273"/>
      <c r="X520" s="273"/>
    </row>
    <row r="521" spans="1:25" ht="12" customHeight="1">
      <c r="B521" s="18" t="s">
        <v>1247</v>
      </c>
      <c r="C521" s="47"/>
      <c r="D521" s="19"/>
      <c r="E521" s="19"/>
      <c r="F521" s="401"/>
      <c r="G521" s="61"/>
      <c r="H521" s="331"/>
      <c r="I521" s="59"/>
      <c r="J521" s="39"/>
      <c r="K521" s="2"/>
      <c r="L521" s="30"/>
      <c r="M521" s="30"/>
      <c r="N521" s="2"/>
      <c r="O521" s="39"/>
      <c r="P521" s="273"/>
      <c r="R521" s="273"/>
      <c r="T521" s="273"/>
      <c r="V521" s="273"/>
      <c r="X521" s="273"/>
    </row>
    <row r="522" spans="1:25" ht="12" customHeight="1" thickBot="1">
      <c r="B522" s="20" t="s">
        <v>1248</v>
      </c>
      <c r="C522" s="48"/>
      <c r="D522" s="21"/>
      <c r="E522" s="21"/>
      <c r="F522" s="402"/>
      <c r="G522" s="60"/>
      <c r="H522" s="332"/>
      <c r="I522" s="60"/>
      <c r="J522" s="39"/>
      <c r="K522" s="2"/>
      <c r="L522" s="30"/>
      <c r="M522" s="30"/>
      <c r="N522" s="2"/>
      <c r="O522" s="39"/>
      <c r="P522" s="273"/>
      <c r="R522" s="273"/>
      <c r="T522" s="273"/>
      <c r="V522" s="273"/>
      <c r="X522" s="273"/>
    </row>
    <row r="523" spans="1:25" ht="12" customHeight="1">
      <c r="B523" s="5"/>
      <c r="C523" s="41"/>
      <c r="D523" s="3"/>
      <c r="E523" s="3"/>
      <c r="G523" s="49"/>
      <c r="I523" s="49"/>
      <c r="J523" s="2"/>
      <c r="K523" s="2"/>
      <c r="L523" s="2"/>
      <c r="M523" s="2"/>
      <c r="N523" s="2"/>
      <c r="O523" s="39"/>
      <c r="P523" s="273"/>
      <c r="R523" s="273"/>
      <c r="T523" s="273"/>
      <c r="V523" s="273"/>
      <c r="X523" s="273"/>
    </row>
    <row r="524" spans="1:25" ht="12.75" customHeight="1">
      <c r="B524" s="556" t="s">
        <v>1082</v>
      </c>
      <c r="C524" s="556"/>
      <c r="D524" s="556"/>
      <c r="E524" s="556"/>
      <c r="F524" s="556"/>
      <c r="G524" s="556"/>
      <c r="H524" s="556"/>
      <c r="I524" s="556"/>
      <c r="J524" s="2"/>
      <c r="K524" s="2"/>
      <c r="L524" s="2"/>
      <c r="M524" s="2"/>
      <c r="N524" s="2"/>
      <c r="O524" s="2"/>
      <c r="P524" s="275"/>
      <c r="R524" s="275"/>
      <c r="T524" s="275"/>
      <c r="V524" s="275"/>
      <c r="X524" s="275"/>
    </row>
    <row r="525" spans="1:25">
      <c r="B525" s="1"/>
      <c r="C525" s="41"/>
      <c r="D525" s="3"/>
      <c r="E525" s="3"/>
      <c r="G525" s="49"/>
      <c r="I525" s="49"/>
      <c r="J525" s="2"/>
      <c r="K525" s="2"/>
      <c r="L525" s="2"/>
      <c r="M525" s="2"/>
      <c r="N525" s="2"/>
      <c r="O525" s="2"/>
      <c r="P525" s="275"/>
      <c r="R525" s="275"/>
      <c r="T525" s="275"/>
      <c r="V525" s="275"/>
      <c r="X525" s="275"/>
    </row>
    <row r="526" spans="1:25" ht="12.75" customHeight="1"/>
    <row r="527" spans="1:25" ht="15.75">
      <c r="C527" s="133">
        <f ca="1">TODAY()</f>
        <v>42305</v>
      </c>
    </row>
    <row r="528" spans="1:25">
      <c r="H528" s="57" t="s">
        <v>846</v>
      </c>
      <c r="I528" s="334">
        <v>244559.54422849594</v>
      </c>
    </row>
    <row r="529" spans="9:9">
      <c r="I529" s="57" t="s">
        <v>1082</v>
      </c>
    </row>
    <row r="530" spans="9:9"/>
    <row r="531" spans="9:9"/>
    <row r="532" spans="9:9"/>
    <row r="533" spans="9:9"/>
    <row r="534" spans="9:9"/>
    <row r="535" spans="9:9"/>
    <row r="536" spans="9:9"/>
    <row r="537" spans="9:9"/>
  </sheetData>
  <autoFilter ref="A4:I512"/>
  <mergeCells count="291">
    <mergeCell ref="Y317:Y341"/>
    <mergeCell ref="Y342:Y348"/>
    <mergeCell ref="Y123:Y127"/>
    <mergeCell ref="Y128:Y139"/>
    <mergeCell ref="Y140:Y154"/>
    <mergeCell ref="Y155:Y158"/>
    <mergeCell ref="Y496:Y509"/>
    <mergeCell ref="Y510:Y512"/>
    <mergeCell ref="Y349:Y390"/>
    <mergeCell ref="Y391:Y402"/>
    <mergeCell ref="Y403:Y423"/>
    <mergeCell ref="Y424:Y445"/>
    <mergeCell ref="Y446:Y480"/>
    <mergeCell ref="Y481:Y495"/>
    <mergeCell ref="Y223:Y282"/>
    <mergeCell ref="Y283:Y298"/>
    <mergeCell ref="Y299:Y303"/>
    <mergeCell ref="Y305:Y308"/>
    <mergeCell ref="Y89:Y90"/>
    <mergeCell ref="Y91:Y93"/>
    <mergeCell ref="Y309:Y312"/>
    <mergeCell ref="Y313:Y316"/>
    <mergeCell ref="Y94:Y101"/>
    <mergeCell ref="Y102:Y109"/>
    <mergeCell ref="Y159:Y165"/>
    <mergeCell ref="Y166:Y171"/>
    <mergeCell ref="Y172:Y180"/>
    <mergeCell ref="Y181:Y221"/>
    <mergeCell ref="Y110:Y116"/>
    <mergeCell ref="Y117:Y121"/>
    <mergeCell ref="Y60:Y66"/>
    <mergeCell ref="Y67:Y71"/>
    <mergeCell ref="Y72:Y77"/>
    <mergeCell ref="X1:Y1"/>
    <mergeCell ref="X2:Y2"/>
    <mergeCell ref="X3:Y3"/>
    <mergeCell ref="X4:Y4"/>
    <mergeCell ref="Y79:Y84"/>
    <mergeCell ref="Y85:Y88"/>
    <mergeCell ref="Y5:Y13"/>
    <mergeCell ref="Y14:Y18"/>
    <mergeCell ref="Y20:Y24"/>
    <mergeCell ref="Y25:Y30"/>
    <mergeCell ref="Y31:Y39"/>
    <mergeCell ref="Y40:Y42"/>
    <mergeCell ref="Y44:Y47"/>
    <mergeCell ref="Y48:Y50"/>
    <mergeCell ref="Y51:Y58"/>
    <mergeCell ref="U85:U88"/>
    <mergeCell ref="U89:U90"/>
    <mergeCell ref="U91:U93"/>
    <mergeCell ref="U94:U101"/>
    <mergeCell ref="S91:S93"/>
    <mergeCell ref="S94:S101"/>
    <mergeCell ref="S85:S88"/>
    <mergeCell ref="S89:S90"/>
    <mergeCell ref="Q85:Q88"/>
    <mergeCell ref="U5:U13"/>
    <mergeCell ref="U14:U18"/>
    <mergeCell ref="U20:U24"/>
    <mergeCell ref="U25:U30"/>
    <mergeCell ref="U79:U84"/>
    <mergeCell ref="U40:U42"/>
    <mergeCell ref="U44:U47"/>
    <mergeCell ref="U48:U50"/>
    <mergeCell ref="U60:U66"/>
    <mergeCell ref="U51:U58"/>
    <mergeCell ref="U72:U77"/>
    <mergeCell ref="S25:S30"/>
    <mergeCell ref="Q25:Q30"/>
    <mergeCell ref="S20:S24"/>
    <mergeCell ref="Q20:Q24"/>
    <mergeCell ref="S51:S58"/>
    <mergeCell ref="S79:S84"/>
    <mergeCell ref="Q91:Q93"/>
    <mergeCell ref="Q94:Q101"/>
    <mergeCell ref="P1:Q1"/>
    <mergeCell ref="P2:Q2"/>
    <mergeCell ref="P3:Q3"/>
    <mergeCell ref="P4:Q4"/>
    <mergeCell ref="R1:S1"/>
    <mergeCell ref="R2:S2"/>
    <mergeCell ref="R3:S3"/>
    <mergeCell ref="R4:S4"/>
    <mergeCell ref="Q44:Q47"/>
    <mergeCell ref="S72:S77"/>
    <mergeCell ref="Q60:Q66"/>
    <mergeCell ref="Q67:Q71"/>
    <mergeCell ref="Q72:Q77"/>
    <mergeCell ref="Q110:Q116"/>
    <mergeCell ref="Q117:Q121"/>
    <mergeCell ref="Q79:Q84"/>
    <mergeCell ref="K222:L222"/>
    <mergeCell ref="K223:L223"/>
    <mergeCell ref="K140:L140"/>
    <mergeCell ref="Q14:Q18"/>
    <mergeCell ref="K25:L25"/>
    <mergeCell ref="K20:L20"/>
    <mergeCell ref="K60:L60"/>
    <mergeCell ref="Q48:Q50"/>
    <mergeCell ref="Q51:Q58"/>
    <mergeCell ref="K67:L67"/>
    <mergeCell ref="Q40:Q42"/>
    <mergeCell ref="Q102:Q109"/>
    <mergeCell ref="K43:L43"/>
    <mergeCell ref="K44:L44"/>
    <mergeCell ref="K48:L48"/>
    <mergeCell ref="K59:L59"/>
    <mergeCell ref="Q128:Q139"/>
    <mergeCell ref="Q140:Q154"/>
    <mergeCell ref="Q155:Q158"/>
    <mergeCell ref="Q159:Q165"/>
    <mergeCell ref="Q166:Q171"/>
    <mergeCell ref="T1:U1"/>
    <mergeCell ref="T2:U2"/>
    <mergeCell ref="T3:U3"/>
    <mergeCell ref="T4:U4"/>
    <mergeCell ref="U31:U39"/>
    <mergeCell ref="K128:L128"/>
    <mergeCell ref="U67:U71"/>
    <mergeCell ref="S5:S13"/>
    <mergeCell ref="S14:S18"/>
    <mergeCell ref="Q5:Q13"/>
    <mergeCell ref="K19:L19"/>
    <mergeCell ref="K5:L5"/>
    <mergeCell ref="K72:L72"/>
    <mergeCell ref="K91:L91"/>
    <mergeCell ref="S31:S39"/>
    <mergeCell ref="Q31:Q39"/>
    <mergeCell ref="Q89:Q90"/>
    <mergeCell ref="S40:S42"/>
    <mergeCell ref="S44:S47"/>
    <mergeCell ref="S48:S50"/>
    <mergeCell ref="S60:S66"/>
    <mergeCell ref="S67:S71"/>
    <mergeCell ref="Q123:Q127"/>
    <mergeCell ref="K94:L94"/>
    <mergeCell ref="B524:I524"/>
    <mergeCell ref="K166:L166"/>
    <mergeCell ref="K172:L172"/>
    <mergeCell ref="K89:L89"/>
    <mergeCell ref="K102:L102"/>
    <mergeCell ref="K110:L110"/>
    <mergeCell ref="K117:L117"/>
    <mergeCell ref="K122:L122"/>
    <mergeCell ref="K123:L123"/>
    <mergeCell ref="K299:L299"/>
    <mergeCell ref="K155:L155"/>
    <mergeCell ref="K159:L159"/>
    <mergeCell ref="K181:L181"/>
    <mergeCell ref="B1:I1"/>
    <mergeCell ref="B2:I2"/>
    <mergeCell ref="B517:I517"/>
    <mergeCell ref="K78:L78"/>
    <mergeCell ref="K79:L79"/>
    <mergeCell ref="K85:L85"/>
    <mergeCell ref="K510:L510"/>
    <mergeCell ref="K342:L342"/>
    <mergeCell ref="K349:L349"/>
    <mergeCell ref="K391:L391"/>
    <mergeCell ref="K496:L496"/>
    <mergeCell ref="K283:L283"/>
    <mergeCell ref="K403:L403"/>
    <mergeCell ref="K424:L424"/>
    <mergeCell ref="K304:L304"/>
    <mergeCell ref="K305:L305"/>
    <mergeCell ref="K309:L309"/>
    <mergeCell ref="K313:L313"/>
    <mergeCell ref="K446:L446"/>
    <mergeCell ref="K481:L481"/>
    <mergeCell ref="K317:L317"/>
    <mergeCell ref="S446:S480"/>
    <mergeCell ref="S510:S512"/>
    <mergeCell ref="S481:S495"/>
    <mergeCell ref="S496:S509"/>
    <mergeCell ref="S313:S316"/>
    <mergeCell ref="S424:S445"/>
    <mergeCell ref="Q446:Q480"/>
    <mergeCell ref="Q481:Q495"/>
    <mergeCell ref="Q496:Q509"/>
    <mergeCell ref="Q510:Q512"/>
    <mergeCell ref="Q424:Q445"/>
    <mergeCell ref="S117:S121"/>
    <mergeCell ref="S123:S127"/>
    <mergeCell ref="S155:S158"/>
    <mergeCell ref="S159:S165"/>
    <mergeCell ref="S128:S139"/>
    <mergeCell ref="S140:S154"/>
    <mergeCell ref="S403:S423"/>
    <mergeCell ref="Q172:Q180"/>
    <mergeCell ref="Q181:Q221"/>
    <mergeCell ref="Q223:Q282"/>
    <mergeCell ref="Q283:Q298"/>
    <mergeCell ref="Q391:Q402"/>
    <mergeCell ref="Q403:Q423"/>
    <mergeCell ref="Q299:Q303"/>
    <mergeCell ref="Q305:Q308"/>
    <mergeCell ref="Q342:Q348"/>
    <mergeCell ref="Q349:Q390"/>
    <mergeCell ref="Q309:Q312"/>
    <mergeCell ref="Q313:Q316"/>
    <mergeCell ref="Q317:Q341"/>
    <mergeCell ref="U102:U109"/>
    <mergeCell ref="U110:U116"/>
    <mergeCell ref="U117:U121"/>
    <mergeCell ref="U123:U127"/>
    <mergeCell ref="S349:S390"/>
    <mergeCell ref="S391:S402"/>
    <mergeCell ref="S317:S341"/>
    <mergeCell ref="S166:S171"/>
    <mergeCell ref="S305:S308"/>
    <mergeCell ref="S309:S312"/>
    <mergeCell ref="U155:U158"/>
    <mergeCell ref="U159:U165"/>
    <mergeCell ref="U166:U171"/>
    <mergeCell ref="S342:S348"/>
    <mergeCell ref="U342:U348"/>
    <mergeCell ref="S172:S180"/>
    <mergeCell ref="S181:S221"/>
    <mergeCell ref="S223:S282"/>
    <mergeCell ref="S283:S298"/>
    <mergeCell ref="S299:S303"/>
    <mergeCell ref="U128:U139"/>
    <mergeCell ref="U140:U154"/>
    <mergeCell ref="S102:S109"/>
    <mergeCell ref="S110:S116"/>
    <mergeCell ref="U424:U445"/>
    <mergeCell ref="U446:U480"/>
    <mergeCell ref="U349:U390"/>
    <mergeCell ref="U305:U308"/>
    <mergeCell ref="U309:U312"/>
    <mergeCell ref="U313:U316"/>
    <mergeCell ref="U317:U341"/>
    <mergeCell ref="U391:U402"/>
    <mergeCell ref="U481:U495"/>
    <mergeCell ref="U496:U509"/>
    <mergeCell ref="U510:U512"/>
    <mergeCell ref="U172:U180"/>
    <mergeCell ref="U181:U221"/>
    <mergeCell ref="U223:U282"/>
    <mergeCell ref="U283:U298"/>
    <mergeCell ref="U299:U303"/>
    <mergeCell ref="U403:U423"/>
    <mergeCell ref="V1:W1"/>
    <mergeCell ref="V2:W2"/>
    <mergeCell ref="V3:W3"/>
    <mergeCell ref="V4:W4"/>
    <mergeCell ref="W5:W13"/>
    <mergeCell ref="W14:W18"/>
    <mergeCell ref="W20:W24"/>
    <mergeCell ref="W25:W30"/>
    <mergeCell ref="W31:W39"/>
    <mergeCell ref="W40:W42"/>
    <mergeCell ref="W44:W47"/>
    <mergeCell ref="W48:W50"/>
    <mergeCell ref="W51:W58"/>
    <mergeCell ref="W60:W66"/>
    <mergeCell ref="W67:W71"/>
    <mergeCell ref="W72:W77"/>
    <mergeCell ref="W79:W84"/>
    <mergeCell ref="W85:W88"/>
    <mergeCell ref="W89:W90"/>
    <mergeCell ref="W159:W165"/>
    <mergeCell ref="W166:W171"/>
    <mergeCell ref="W91:W93"/>
    <mergeCell ref="W94:W101"/>
    <mergeCell ref="W102:W109"/>
    <mergeCell ref="W110:W116"/>
    <mergeCell ref="W117:W121"/>
    <mergeCell ref="W123:W127"/>
    <mergeCell ref="W128:W139"/>
    <mergeCell ref="W140:W154"/>
    <mergeCell ref="W155:W158"/>
    <mergeCell ref="W172:W180"/>
    <mergeCell ref="W481:W495"/>
    <mergeCell ref="W305:W308"/>
    <mergeCell ref="W309:W312"/>
    <mergeCell ref="W313:W316"/>
    <mergeCell ref="W181:W221"/>
    <mergeCell ref="W223:W282"/>
    <mergeCell ref="W283:W298"/>
    <mergeCell ref="W446:W480"/>
    <mergeCell ref="W496:W509"/>
    <mergeCell ref="W299:W303"/>
    <mergeCell ref="W510:W512"/>
    <mergeCell ref="W317:W341"/>
    <mergeCell ref="W342:W348"/>
    <mergeCell ref="W349:W390"/>
    <mergeCell ref="W391:W402"/>
    <mergeCell ref="W403:W423"/>
    <mergeCell ref="W424:W445"/>
  </mergeCells>
  <phoneticPr fontId="0" type="noConversion"/>
  <pageMargins left="0.70866141732283472" right="0.39370078740157483" top="1.3779527559055118" bottom="0.98425196850393704" header="0.51181102362204722" footer="0.51181102362204722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showGridLines="0" zoomScaleNormal="100" workbookViewId="0">
      <pane xSplit="4" ySplit="4" topLeftCell="E11" activePane="bottomRight" state="frozen"/>
      <selection pane="topRight" activeCell="E1" sqref="E1"/>
      <selection pane="bottomLeft" activeCell="A5" sqref="A5"/>
      <selection pane="bottomRight" activeCell="B12" sqref="B12"/>
    </sheetView>
  </sheetViews>
  <sheetFormatPr defaultColWidth="0" defaultRowHeight="12.75"/>
  <cols>
    <col min="1" max="1" width="5.140625" style="413" customWidth="1"/>
    <col min="2" max="2" width="47.140625" style="413" customWidth="1"/>
    <col min="3" max="3" width="12.42578125" style="413" hidden="1" customWidth="1"/>
    <col min="4" max="4" width="9" style="413" customWidth="1"/>
    <col min="5" max="5" width="8.5703125" style="413" customWidth="1"/>
    <col min="6" max="7" width="8.42578125" style="413" customWidth="1"/>
    <col min="8" max="10" width="8.28515625" style="413" customWidth="1"/>
    <col min="11" max="11" width="8.42578125" style="413" customWidth="1"/>
    <col min="12" max="21" width="7.7109375" style="413" customWidth="1"/>
    <col min="22" max="22" width="8.28515625" style="413" customWidth="1"/>
    <col min="23" max="23" width="7.7109375" style="413" customWidth="1"/>
    <col min="24" max="29" width="7.7109375" style="413" hidden="1" customWidth="1"/>
    <col min="30" max="16384" width="9.140625" style="413" hidden="1"/>
  </cols>
  <sheetData>
    <row r="1" spans="1:23" ht="6" customHeight="1"/>
    <row r="2" spans="1:23" s="411" customFormat="1" ht="15.75" customHeight="1">
      <c r="B2" s="587" t="s">
        <v>1418</v>
      </c>
      <c r="C2" s="412"/>
      <c r="D2" s="589" t="s">
        <v>1390</v>
      </c>
      <c r="E2" s="436" t="s">
        <v>1400</v>
      </c>
      <c r="F2" s="437" t="s">
        <v>1401</v>
      </c>
      <c r="G2" s="437" t="s">
        <v>1402</v>
      </c>
      <c r="H2" s="437" t="s">
        <v>1403</v>
      </c>
      <c r="I2" s="437" t="s">
        <v>1404</v>
      </c>
      <c r="J2" s="437" t="s">
        <v>1405</v>
      </c>
      <c r="K2" s="446" t="s">
        <v>1406</v>
      </c>
      <c r="L2" s="450" t="s">
        <v>1407</v>
      </c>
      <c r="M2" s="437" t="s">
        <v>1408</v>
      </c>
      <c r="N2" s="437" t="s">
        <v>1409</v>
      </c>
      <c r="O2" s="437" t="s">
        <v>1410</v>
      </c>
      <c r="P2" s="446" t="s">
        <v>1411</v>
      </c>
      <c r="Q2" s="450" t="s">
        <v>1412</v>
      </c>
      <c r="R2" s="437" t="s">
        <v>1413</v>
      </c>
      <c r="S2" s="437" t="s">
        <v>1414</v>
      </c>
      <c r="T2" s="437" t="s">
        <v>1415</v>
      </c>
      <c r="U2" s="437" t="s">
        <v>1416</v>
      </c>
      <c r="V2" s="446" t="s">
        <v>1417</v>
      </c>
    </row>
    <row r="3" spans="1:23" ht="21.75" customHeight="1">
      <c r="B3" s="588"/>
      <c r="C3" s="414"/>
      <c r="D3" s="590"/>
      <c r="E3" s="438">
        <v>42186</v>
      </c>
      <c r="F3" s="439">
        <v>42217</v>
      </c>
      <c r="G3" s="439">
        <v>42248</v>
      </c>
      <c r="H3" s="439">
        <v>42278</v>
      </c>
      <c r="I3" s="439">
        <v>42309</v>
      </c>
      <c r="J3" s="439">
        <v>42339</v>
      </c>
      <c r="K3" s="455">
        <v>42370</v>
      </c>
      <c r="L3" s="438">
        <v>42401</v>
      </c>
      <c r="M3" s="439">
        <v>42430</v>
      </c>
      <c r="N3" s="439">
        <v>42461</v>
      </c>
      <c r="O3" s="439">
        <v>42491</v>
      </c>
      <c r="P3" s="440">
        <v>42522</v>
      </c>
      <c r="Q3" s="438">
        <v>42552</v>
      </c>
      <c r="R3" s="439">
        <v>42583</v>
      </c>
      <c r="S3" s="439">
        <v>42614</v>
      </c>
      <c r="T3" s="439">
        <v>42644</v>
      </c>
      <c r="U3" s="439">
        <v>42675</v>
      </c>
      <c r="V3" s="440">
        <v>42705</v>
      </c>
    </row>
    <row r="4" spans="1:23" ht="14.25" hidden="1">
      <c r="B4" s="424" t="s">
        <v>1393</v>
      </c>
      <c r="C4" s="416">
        <f>(2.30613904992396)/100</f>
        <v>2.3061390499239599E-2</v>
      </c>
      <c r="D4" s="417" t="s">
        <v>1082</v>
      </c>
      <c r="E4" s="430"/>
      <c r="F4" s="418"/>
      <c r="G4" s="418"/>
      <c r="H4" s="418"/>
      <c r="I4" s="418"/>
      <c r="J4" s="418"/>
      <c r="K4" s="429"/>
      <c r="L4" s="430"/>
      <c r="M4" s="418"/>
      <c r="N4" s="418"/>
      <c r="O4" s="418"/>
      <c r="P4" s="429"/>
      <c r="Q4" s="430"/>
      <c r="R4" s="418"/>
      <c r="S4" s="418"/>
      <c r="T4" s="418"/>
      <c r="U4" s="418"/>
      <c r="V4" s="429"/>
    </row>
    <row r="5" spans="1:23" ht="14.25">
      <c r="A5" s="413">
        <v>1</v>
      </c>
      <c r="B5" s="408" t="s">
        <v>1394</v>
      </c>
      <c r="C5" s="419">
        <f>(1.43614603581086%)</f>
        <v>1.43614603581086E-2</v>
      </c>
      <c r="D5" s="420">
        <v>0.01</v>
      </c>
      <c r="E5" s="425">
        <f>$D5/18</f>
        <v>5.5555555555555556E-4</v>
      </c>
      <c r="F5" s="426">
        <f t="shared" ref="F5:V6" si="0">$D5/18</f>
        <v>5.5555555555555556E-4</v>
      </c>
      <c r="G5" s="426">
        <f t="shared" si="0"/>
        <v>5.5555555555555556E-4</v>
      </c>
      <c r="H5" s="426">
        <f t="shared" si="0"/>
        <v>5.5555555555555556E-4</v>
      </c>
      <c r="I5" s="426">
        <f t="shared" si="0"/>
        <v>5.5555555555555556E-4</v>
      </c>
      <c r="J5" s="426">
        <f t="shared" si="0"/>
        <v>5.5555555555555556E-4</v>
      </c>
      <c r="K5" s="427">
        <f t="shared" si="0"/>
        <v>5.5555555555555556E-4</v>
      </c>
      <c r="L5" s="425">
        <f t="shared" si="0"/>
        <v>5.5555555555555556E-4</v>
      </c>
      <c r="M5" s="426">
        <f t="shared" si="0"/>
        <v>5.5555555555555556E-4</v>
      </c>
      <c r="N5" s="426">
        <f t="shared" si="0"/>
        <v>5.5555555555555556E-4</v>
      </c>
      <c r="O5" s="426">
        <f t="shared" si="0"/>
        <v>5.5555555555555556E-4</v>
      </c>
      <c r="P5" s="427">
        <f t="shared" si="0"/>
        <v>5.5555555555555556E-4</v>
      </c>
      <c r="Q5" s="425">
        <f t="shared" si="0"/>
        <v>5.5555555555555556E-4</v>
      </c>
      <c r="R5" s="426">
        <f t="shared" si="0"/>
        <v>5.5555555555555556E-4</v>
      </c>
      <c r="S5" s="426">
        <f t="shared" si="0"/>
        <v>5.5555555555555556E-4</v>
      </c>
      <c r="T5" s="426">
        <f t="shared" si="0"/>
        <v>5.5555555555555556E-4</v>
      </c>
      <c r="U5" s="426">
        <f t="shared" si="0"/>
        <v>5.5555555555555556E-4</v>
      </c>
      <c r="V5" s="427">
        <f t="shared" si="0"/>
        <v>5.5555555555555556E-4</v>
      </c>
      <c r="W5" s="470">
        <f>SUM(E5:V5)-D5</f>
        <v>0</v>
      </c>
    </row>
    <row r="6" spans="1:23" ht="14.25">
      <c r="A6" s="413">
        <v>2</v>
      </c>
      <c r="B6" s="409" t="s">
        <v>1388</v>
      </c>
      <c r="C6" s="416">
        <v>0.11838560597358802</v>
      </c>
      <c r="D6" s="416">
        <v>7.0000000000000007E-2</v>
      </c>
      <c r="E6" s="476">
        <f>$D6/18</f>
        <v>3.8888888888888892E-3</v>
      </c>
      <c r="F6" s="477">
        <f t="shared" si="0"/>
        <v>3.8888888888888892E-3</v>
      </c>
      <c r="G6" s="477">
        <f t="shared" si="0"/>
        <v>3.8888888888888892E-3</v>
      </c>
      <c r="H6" s="477">
        <f t="shared" si="0"/>
        <v>3.8888888888888892E-3</v>
      </c>
      <c r="I6" s="477">
        <f t="shared" si="0"/>
        <v>3.8888888888888892E-3</v>
      </c>
      <c r="J6" s="477">
        <f t="shared" si="0"/>
        <v>3.8888888888888892E-3</v>
      </c>
      <c r="K6" s="478">
        <f t="shared" si="0"/>
        <v>3.8888888888888892E-3</v>
      </c>
      <c r="L6" s="476">
        <f t="shared" si="0"/>
        <v>3.8888888888888892E-3</v>
      </c>
      <c r="M6" s="477">
        <f t="shared" si="0"/>
        <v>3.8888888888888892E-3</v>
      </c>
      <c r="N6" s="477">
        <f t="shared" si="0"/>
        <v>3.8888888888888892E-3</v>
      </c>
      <c r="O6" s="477">
        <f t="shared" si="0"/>
        <v>3.8888888888888892E-3</v>
      </c>
      <c r="P6" s="478">
        <f t="shared" si="0"/>
        <v>3.8888888888888892E-3</v>
      </c>
      <c r="Q6" s="476">
        <f t="shared" si="0"/>
        <v>3.8888888888888892E-3</v>
      </c>
      <c r="R6" s="477">
        <f t="shared" si="0"/>
        <v>3.8888888888888892E-3</v>
      </c>
      <c r="S6" s="477">
        <f t="shared" si="0"/>
        <v>3.8888888888888892E-3</v>
      </c>
      <c r="T6" s="477">
        <f t="shared" si="0"/>
        <v>3.8888888888888892E-3</v>
      </c>
      <c r="U6" s="477">
        <f t="shared" si="0"/>
        <v>3.8888888888888892E-3</v>
      </c>
      <c r="V6" s="478">
        <f t="shared" si="0"/>
        <v>3.8888888888888892E-3</v>
      </c>
      <c r="W6" s="470">
        <f t="shared" ref="W6:W25" si="1">SUM(E6:V6)-D6</f>
        <v>0</v>
      </c>
    </row>
    <row r="7" spans="1:23" ht="14.25">
      <c r="A7" s="413">
        <v>3</v>
      </c>
      <c r="B7" s="409" t="s">
        <v>1389</v>
      </c>
      <c r="C7" s="416">
        <v>1.7493396316593787E-2</v>
      </c>
      <c r="D7" s="416">
        <v>0.02</v>
      </c>
      <c r="E7" s="479">
        <f>D7*F38</f>
        <v>5.9140737901905837E-3</v>
      </c>
      <c r="F7" s="480"/>
      <c r="G7" s="480"/>
      <c r="H7" s="480"/>
      <c r="I7" s="480"/>
      <c r="J7" s="480"/>
      <c r="K7" s="481">
        <f>D7*G38</f>
        <v>1.1196914896165181E-2</v>
      </c>
      <c r="L7" s="482"/>
      <c r="M7" s="480"/>
      <c r="N7" s="480"/>
      <c r="O7" s="480"/>
      <c r="P7" s="481">
        <f>$D7*$E38</f>
        <v>2.889011313644239E-3</v>
      </c>
      <c r="Q7" s="483" t="s">
        <v>1082</v>
      </c>
      <c r="R7" s="480"/>
      <c r="S7" s="480"/>
      <c r="T7" s="480"/>
      <c r="U7" s="480"/>
      <c r="V7" s="484"/>
      <c r="W7" s="470">
        <f t="shared" si="1"/>
        <v>0</v>
      </c>
    </row>
    <row r="8" spans="1:23" ht="14.25">
      <c r="A8" s="413">
        <v>4</v>
      </c>
      <c r="B8" s="409" t="s">
        <v>1284</v>
      </c>
      <c r="C8" s="416">
        <v>3.7848933910711313E-2</v>
      </c>
      <c r="D8" s="416">
        <v>0.02</v>
      </c>
      <c r="E8" s="483">
        <v>1.4999999999999999E-2</v>
      </c>
      <c r="F8" s="480"/>
      <c r="G8" s="480"/>
      <c r="H8" s="480"/>
      <c r="I8" s="480"/>
      <c r="J8" s="480"/>
      <c r="K8" s="485">
        <f>0.5/100</f>
        <v>5.0000000000000001E-3</v>
      </c>
      <c r="L8" s="482"/>
      <c r="M8" s="480"/>
      <c r="N8" s="480"/>
      <c r="O8" s="480"/>
      <c r="P8" s="484"/>
      <c r="Q8" s="482"/>
      <c r="R8" s="480"/>
      <c r="S8" s="480"/>
      <c r="T8" s="480"/>
      <c r="U8" s="480"/>
      <c r="V8" s="484"/>
      <c r="W8" s="470">
        <f t="shared" si="1"/>
        <v>0</v>
      </c>
    </row>
    <row r="9" spans="1:23" ht="14.25">
      <c r="A9" s="413">
        <v>5</v>
      </c>
      <c r="B9" s="409" t="s">
        <v>1395</v>
      </c>
      <c r="C9" s="416">
        <v>6.1675565322389825E-2</v>
      </c>
      <c r="D9" s="416">
        <v>7.0000000000000007E-2</v>
      </c>
      <c r="E9" s="476">
        <f>$D9*0.6*$F$38</f>
        <v>1.2419554959400227E-2</v>
      </c>
      <c r="F9" s="486">
        <f>$D9*0.4*$F$38</f>
        <v>8.2797033062668186E-3</v>
      </c>
      <c r="G9" s="480"/>
      <c r="H9" s="480"/>
      <c r="I9" s="480"/>
      <c r="J9" s="480"/>
      <c r="K9" s="481">
        <f>$D9*0.4*$G$38</f>
        <v>1.5675680854631256E-2</v>
      </c>
      <c r="L9" s="483">
        <f>$D9*0.4*$G$38</f>
        <v>1.5675680854631256E-2</v>
      </c>
      <c r="M9" s="487">
        <f>$D9*0.2*$G$38</f>
        <v>7.8378404273156278E-3</v>
      </c>
      <c r="N9" s="480"/>
      <c r="O9" s="480"/>
      <c r="P9" s="481">
        <f>$D9*$E$38*0.8</f>
        <v>8.0892316782038703E-3</v>
      </c>
      <c r="Q9" s="483">
        <f>$D9*$E$38*0.2</f>
        <v>2.0223079195509676E-3</v>
      </c>
      <c r="R9" s="480"/>
      <c r="S9" s="480"/>
      <c r="T9" s="480"/>
      <c r="U9" s="480"/>
      <c r="V9" s="484"/>
      <c r="W9" s="470">
        <f t="shared" si="1"/>
        <v>0</v>
      </c>
    </row>
    <row r="10" spans="1:23" ht="14.25">
      <c r="A10" s="413">
        <v>6</v>
      </c>
      <c r="B10" s="409" t="s">
        <v>1396</v>
      </c>
      <c r="C10" s="416">
        <v>0.17596546281997585</v>
      </c>
      <c r="D10" s="416">
        <v>0.21</v>
      </c>
      <c r="E10" s="482"/>
      <c r="F10" s="477">
        <f>($D10/2*$F$38)</f>
        <v>3.1048887398500563E-2</v>
      </c>
      <c r="G10" s="477">
        <f>($D10/2*$F$38)</f>
        <v>3.1048887398500563E-2</v>
      </c>
      <c r="H10" s="477" t="s">
        <v>1082</v>
      </c>
      <c r="I10" s="477" t="s">
        <v>1082</v>
      </c>
      <c r="J10" s="477" t="s">
        <v>1082</v>
      </c>
      <c r="K10" s="478" t="s">
        <v>1082</v>
      </c>
      <c r="L10" s="476" t="s">
        <v>1082</v>
      </c>
      <c r="M10" s="477">
        <f>($D10/4*$G$38)</f>
        <v>2.9391901602433598E-2</v>
      </c>
      <c r="N10" s="477">
        <f>($D10/4*$G$38)</f>
        <v>2.9391901602433598E-2</v>
      </c>
      <c r="O10" s="477">
        <f>($D10/4*$G$38)</f>
        <v>2.9391901602433598E-2</v>
      </c>
      <c r="P10" s="478">
        <f>($D10/4*$G$38)</f>
        <v>2.9391901602433598E-2</v>
      </c>
      <c r="Q10" s="476">
        <f>($D10/2*$E$38)</f>
        <v>1.5167309396632255E-2</v>
      </c>
      <c r="R10" s="477">
        <f>($D10/2*$E$38)</f>
        <v>1.5167309396632255E-2</v>
      </c>
      <c r="S10" s="477" t="s">
        <v>1082</v>
      </c>
      <c r="T10" s="480"/>
      <c r="U10" s="480"/>
      <c r="V10" s="484"/>
      <c r="W10" s="470">
        <f t="shared" si="1"/>
        <v>0</v>
      </c>
    </row>
    <row r="11" spans="1:23" ht="14.25">
      <c r="A11" s="413">
        <v>7</v>
      </c>
      <c r="B11" s="409" t="s">
        <v>1358</v>
      </c>
      <c r="C11" s="416">
        <v>3.0557132803842178E-3</v>
      </c>
      <c r="D11" s="416">
        <v>0.01</v>
      </c>
      <c r="E11" s="482"/>
      <c r="F11" s="480"/>
      <c r="G11" s="480"/>
      <c r="H11" s="486">
        <f>D11*F38</f>
        <v>2.9570368950952918E-3</v>
      </c>
      <c r="I11" s="480"/>
      <c r="J11" s="480"/>
      <c r="K11" s="484"/>
      <c r="L11" s="482"/>
      <c r="M11" s="480"/>
      <c r="N11" s="480"/>
      <c r="O11" s="480"/>
      <c r="P11" s="478">
        <f>($D11*$G$38)*0.4</f>
        <v>2.2393829792330361E-3</v>
      </c>
      <c r="Q11" s="476">
        <f>($D11*$G$38)*0.6</f>
        <v>3.3590744688495543E-3</v>
      </c>
      <c r="R11" s="480"/>
      <c r="S11" s="477">
        <f>($D11*$E$38)</f>
        <v>1.4445056568221195E-3</v>
      </c>
      <c r="T11" s="480"/>
      <c r="U11" s="480"/>
      <c r="V11" s="484"/>
      <c r="W11" s="470">
        <f t="shared" si="1"/>
        <v>0</v>
      </c>
    </row>
    <row r="12" spans="1:23" ht="14.25">
      <c r="A12" s="413">
        <v>8</v>
      </c>
      <c r="B12" s="409" t="s">
        <v>1387</v>
      </c>
      <c r="C12" s="416">
        <v>5.8213337495775334E-2</v>
      </c>
      <c r="D12" s="416">
        <v>0.06</v>
      </c>
      <c r="E12" s="482"/>
      <c r="F12" s="480"/>
      <c r="G12" s="477">
        <f>($D12/2*$F$38)</f>
        <v>8.8711106852858747E-3</v>
      </c>
      <c r="H12" s="477">
        <f>($D12/2*$F$38)</f>
        <v>8.8711106852858747E-3</v>
      </c>
      <c r="I12" s="477" t="s">
        <v>1082</v>
      </c>
      <c r="J12" s="480"/>
      <c r="K12" s="484"/>
      <c r="L12" s="482"/>
      <c r="M12" s="480"/>
      <c r="N12" s="477">
        <f>($D12/4*$G$38)</f>
        <v>8.3976861721238843E-3</v>
      </c>
      <c r="O12" s="477">
        <f>($D12/4*$G$38)</f>
        <v>8.3976861721238843E-3</v>
      </c>
      <c r="P12" s="478">
        <f>($D12/4*$G$38)</f>
        <v>8.3976861721238843E-3</v>
      </c>
      <c r="Q12" s="476">
        <f>($D12/4*$G$38)</f>
        <v>8.3976861721238843E-3</v>
      </c>
      <c r="R12" s="477">
        <f>($D12/2*$E$38)</f>
        <v>4.3335169704663582E-3</v>
      </c>
      <c r="S12" s="477">
        <f>($D12/2*$E$38)</f>
        <v>4.3335169704663582E-3</v>
      </c>
      <c r="T12" s="480"/>
      <c r="U12" s="480"/>
      <c r="V12" s="484"/>
      <c r="W12" s="470">
        <f t="shared" si="1"/>
        <v>0</v>
      </c>
    </row>
    <row r="13" spans="1:23" ht="14.25">
      <c r="A13" s="413">
        <v>9</v>
      </c>
      <c r="B13" s="409" t="s">
        <v>1378</v>
      </c>
      <c r="C13" s="416">
        <v>4.6932839062554028E-2</v>
      </c>
      <c r="D13" s="416">
        <v>0.06</v>
      </c>
      <c r="E13" s="482"/>
      <c r="F13" s="480"/>
      <c r="G13" s="480"/>
      <c r="H13" s="477">
        <f>($D13/2*$F$38)</f>
        <v>8.8711106852858747E-3</v>
      </c>
      <c r="I13" s="477">
        <f>($D13/2*$F$38)</f>
        <v>8.8711106852858747E-3</v>
      </c>
      <c r="J13" s="477" t="s">
        <v>1082</v>
      </c>
      <c r="K13" s="484"/>
      <c r="L13" s="482"/>
      <c r="M13" s="480"/>
      <c r="N13" s="480"/>
      <c r="O13" s="477">
        <f>($D13/4*$G$38)</f>
        <v>8.3976861721238843E-3</v>
      </c>
      <c r="P13" s="478">
        <f>($D13/4*$G$38)</f>
        <v>8.3976861721238843E-3</v>
      </c>
      <c r="Q13" s="476">
        <f>($D13/4*$G$38)</f>
        <v>8.3976861721238843E-3</v>
      </c>
      <c r="R13" s="477">
        <f>($D13/4*$G$38)</f>
        <v>8.3976861721238843E-3</v>
      </c>
      <c r="S13" s="477">
        <f>($D13/2*$E$38)</f>
        <v>4.3335169704663582E-3</v>
      </c>
      <c r="T13" s="488">
        <f>($D13/2*$E$38)</f>
        <v>4.3335169704663582E-3</v>
      </c>
      <c r="U13" s="480"/>
      <c r="V13" s="484"/>
      <c r="W13" s="470">
        <f t="shared" si="1"/>
        <v>0</v>
      </c>
    </row>
    <row r="14" spans="1:23" ht="14.25">
      <c r="A14" s="413">
        <v>10</v>
      </c>
      <c r="B14" s="409" t="s">
        <v>1379</v>
      </c>
      <c r="C14" s="416">
        <v>2.1657260058306399E-2</v>
      </c>
      <c r="D14" s="416">
        <v>0.03</v>
      </c>
      <c r="E14" s="482"/>
      <c r="F14" s="480"/>
      <c r="G14" s="480"/>
      <c r="H14" s="477">
        <f>($D14/2*$F$38)</f>
        <v>4.4355553426429373E-3</v>
      </c>
      <c r="I14" s="477">
        <f>($D14/2*$F$38)</f>
        <v>4.4355553426429373E-3</v>
      </c>
      <c r="J14" s="480"/>
      <c r="K14" s="484"/>
      <c r="L14" s="482"/>
      <c r="M14" s="480"/>
      <c r="N14" s="480"/>
      <c r="O14" s="480"/>
      <c r="P14" s="478" t="s">
        <v>1082</v>
      </c>
      <c r="Q14" s="476">
        <f>($D14/4*$G$38)</f>
        <v>4.1988430860619421E-3</v>
      </c>
      <c r="R14" s="477">
        <f>($D14/4*$G$38)</f>
        <v>4.1988430860619421E-3</v>
      </c>
      <c r="S14" s="477">
        <f>($D14/4*$G$38)</f>
        <v>4.1988430860619421E-3</v>
      </c>
      <c r="T14" s="488">
        <f>($D14/4*$G$38)+($D14/2*$E$38)</f>
        <v>6.3656015712951208E-3</v>
      </c>
      <c r="U14" s="488">
        <f>($D14/2*$E$38)</f>
        <v>2.1667584852331791E-3</v>
      </c>
      <c r="V14" s="484"/>
      <c r="W14" s="470">
        <f t="shared" si="1"/>
        <v>0</v>
      </c>
    </row>
    <row r="15" spans="1:23" ht="14.25">
      <c r="A15" s="413">
        <v>11</v>
      </c>
      <c r="B15" s="409" t="s">
        <v>1380</v>
      </c>
      <c r="C15" s="416">
        <v>3.6686744661607963E-2</v>
      </c>
      <c r="D15" s="416">
        <v>0.05</v>
      </c>
      <c r="E15" s="482"/>
      <c r="F15" s="480"/>
      <c r="G15" s="480"/>
      <c r="H15" s="480"/>
      <c r="I15" s="477">
        <f>($D15/2*$F$38)</f>
        <v>7.3925922377382301E-3</v>
      </c>
      <c r="J15" s="477">
        <f>($D15/2*$F$38)</f>
        <v>7.3925922377382301E-3</v>
      </c>
      <c r="K15" s="484"/>
      <c r="L15" s="482"/>
      <c r="M15" s="480"/>
      <c r="N15" s="480"/>
      <c r="O15" s="480"/>
      <c r="P15" s="484"/>
      <c r="Q15" s="482"/>
      <c r="R15" s="477">
        <f>($D15/4*$G$38)</f>
        <v>6.9980718101032378E-3</v>
      </c>
      <c r="S15" s="477">
        <f>($D15/4*$G$38)</f>
        <v>6.9980718101032378E-3</v>
      </c>
      <c r="T15" s="477">
        <f>($D15/4*$G$38)</f>
        <v>6.9980718101032378E-3</v>
      </c>
      <c r="U15" s="488">
        <f>($D15/4*$G$38)+($D15/2*$E$38)</f>
        <v>1.0609335952158537E-2</v>
      </c>
      <c r="V15" s="489">
        <f>($D15/2*$E$38)</f>
        <v>3.6112641420552993E-3</v>
      </c>
      <c r="W15" s="470">
        <f t="shared" si="1"/>
        <v>0</v>
      </c>
    </row>
    <row r="16" spans="1:23" ht="14.25">
      <c r="A16" s="413">
        <v>12</v>
      </c>
      <c r="B16" s="409" t="s">
        <v>1381</v>
      </c>
      <c r="C16" s="416">
        <v>9.8579490277111589E-2</v>
      </c>
      <c r="D16" s="416">
        <v>0.03</v>
      </c>
      <c r="E16" s="482"/>
      <c r="F16" s="480"/>
      <c r="G16" s="480"/>
      <c r="H16" s="480"/>
      <c r="I16" s="480"/>
      <c r="J16" s="477">
        <f t="shared" ref="J16:K20" si="2">($D16/2*$F$38)</f>
        <v>4.4355553426429373E-3</v>
      </c>
      <c r="K16" s="478">
        <f t="shared" si="2"/>
        <v>4.4355553426429373E-3</v>
      </c>
      <c r="L16" s="482"/>
      <c r="M16" s="480"/>
      <c r="N16" s="480"/>
      <c r="O16" s="480"/>
      <c r="P16" s="484"/>
      <c r="Q16" s="482"/>
      <c r="R16" s="480"/>
      <c r="S16" s="480"/>
      <c r="T16" s="477">
        <f>($D16/3*$G$38)</f>
        <v>5.5984574480825904E-3</v>
      </c>
      <c r="U16" s="488">
        <f t="shared" ref="U16:V20" si="3">($D16/3*$G$38)+($D16/2*$E$38)</f>
        <v>7.7652159333157691E-3</v>
      </c>
      <c r="V16" s="489">
        <f t="shared" si="3"/>
        <v>7.7652159333157691E-3</v>
      </c>
      <c r="W16" s="470">
        <f t="shared" si="1"/>
        <v>0</v>
      </c>
    </row>
    <row r="17" spans="1:23" ht="14.25">
      <c r="A17" s="413">
        <v>13</v>
      </c>
      <c r="B17" s="409" t="s">
        <v>1382</v>
      </c>
      <c r="C17" s="416">
        <v>6.8558919173223234E-3</v>
      </c>
      <c r="D17" s="416">
        <v>0.01</v>
      </c>
      <c r="E17" s="482"/>
      <c r="F17" s="480"/>
      <c r="G17" s="480"/>
      <c r="H17" s="480"/>
      <c r="I17" s="480"/>
      <c r="J17" s="477">
        <f t="shared" si="2"/>
        <v>1.4785184475476459E-3</v>
      </c>
      <c r="K17" s="478">
        <f t="shared" si="2"/>
        <v>1.4785184475476459E-3</v>
      </c>
      <c r="L17" s="482"/>
      <c r="M17" s="480"/>
      <c r="N17" s="480"/>
      <c r="O17" s="480"/>
      <c r="P17" s="484"/>
      <c r="Q17" s="482"/>
      <c r="R17" s="480"/>
      <c r="S17" s="480"/>
      <c r="T17" s="477">
        <f>($D17/3*$G$38)</f>
        <v>1.8661524826941967E-3</v>
      </c>
      <c r="U17" s="488">
        <f t="shared" si="3"/>
        <v>2.5884053111052564E-3</v>
      </c>
      <c r="V17" s="489">
        <f t="shared" si="3"/>
        <v>2.5884053111052564E-3</v>
      </c>
      <c r="W17" s="470">
        <f t="shared" si="1"/>
        <v>0</v>
      </c>
    </row>
    <row r="18" spans="1:23" ht="14.25">
      <c r="A18" s="413">
        <v>14</v>
      </c>
      <c r="B18" s="409" t="s">
        <v>1392</v>
      </c>
      <c r="C18" s="416">
        <v>1.9995044559865936E-3</v>
      </c>
      <c r="D18" s="416">
        <v>0.01</v>
      </c>
      <c r="E18" s="482"/>
      <c r="F18" s="480"/>
      <c r="G18" s="480"/>
      <c r="H18" s="480"/>
      <c r="I18" s="480"/>
      <c r="J18" s="477">
        <f t="shared" si="2"/>
        <v>1.4785184475476459E-3</v>
      </c>
      <c r="K18" s="478">
        <f t="shared" si="2"/>
        <v>1.4785184475476459E-3</v>
      </c>
      <c r="L18" s="482"/>
      <c r="M18" s="480"/>
      <c r="N18" s="480"/>
      <c r="O18" s="480"/>
      <c r="P18" s="484"/>
      <c r="Q18" s="482"/>
      <c r="R18" s="480"/>
      <c r="S18" s="480"/>
      <c r="T18" s="477">
        <f>($D18/3*$G$38)</f>
        <v>1.8661524826941967E-3</v>
      </c>
      <c r="U18" s="488">
        <f t="shared" si="3"/>
        <v>2.5884053111052564E-3</v>
      </c>
      <c r="V18" s="489">
        <f t="shared" si="3"/>
        <v>2.5884053111052564E-3</v>
      </c>
      <c r="W18" s="470">
        <f t="shared" si="1"/>
        <v>0</v>
      </c>
    </row>
    <row r="19" spans="1:23" ht="14.25">
      <c r="A19" s="413">
        <v>15</v>
      </c>
      <c r="B19" s="409" t="s">
        <v>1383</v>
      </c>
      <c r="C19" s="416">
        <v>4.5870984578515973E-3</v>
      </c>
      <c r="D19" s="416">
        <v>0.03</v>
      </c>
      <c r="E19" s="482"/>
      <c r="F19" s="480"/>
      <c r="G19" s="480"/>
      <c r="H19" s="480"/>
      <c r="I19" s="480"/>
      <c r="J19" s="477">
        <f t="shared" si="2"/>
        <v>4.4355553426429373E-3</v>
      </c>
      <c r="K19" s="478">
        <f t="shared" si="2"/>
        <v>4.4355553426429373E-3</v>
      </c>
      <c r="L19" s="482"/>
      <c r="M19" s="480"/>
      <c r="N19" s="480"/>
      <c r="O19" s="480"/>
      <c r="P19" s="484"/>
      <c r="Q19" s="482"/>
      <c r="R19" s="480"/>
      <c r="S19" s="480"/>
      <c r="T19" s="477">
        <f>($D19/3*$G$38)</f>
        <v>5.5984574480825904E-3</v>
      </c>
      <c r="U19" s="488">
        <f t="shared" si="3"/>
        <v>7.7652159333157691E-3</v>
      </c>
      <c r="V19" s="489">
        <f t="shared" si="3"/>
        <v>7.7652159333157691E-3</v>
      </c>
      <c r="W19" s="470">
        <f t="shared" si="1"/>
        <v>0</v>
      </c>
    </row>
    <row r="20" spans="1:23" ht="14.25">
      <c r="A20" s="413">
        <v>16</v>
      </c>
      <c r="B20" s="409" t="s">
        <v>170</v>
      </c>
      <c r="C20" s="416">
        <v>5.4876987884097943E-2</v>
      </c>
      <c r="D20" s="416">
        <v>0.06</v>
      </c>
      <c r="E20" s="482"/>
      <c r="F20" s="480"/>
      <c r="G20" s="480"/>
      <c r="H20" s="480"/>
      <c r="I20" s="480"/>
      <c r="J20" s="477">
        <f t="shared" si="2"/>
        <v>8.8711106852858747E-3</v>
      </c>
      <c r="K20" s="478">
        <f t="shared" si="2"/>
        <v>8.8711106852858747E-3</v>
      </c>
      <c r="L20" s="482"/>
      <c r="M20" s="480"/>
      <c r="N20" s="480"/>
      <c r="O20" s="480"/>
      <c r="P20" s="484"/>
      <c r="Q20" s="482"/>
      <c r="R20" s="480"/>
      <c r="S20" s="480"/>
      <c r="T20" s="477">
        <f>($D20/3*$G$38)</f>
        <v>1.1196914896165181E-2</v>
      </c>
      <c r="U20" s="488">
        <f t="shared" si="3"/>
        <v>1.5530431866631538E-2</v>
      </c>
      <c r="V20" s="489">
        <f t="shared" si="3"/>
        <v>1.5530431866631538E-2</v>
      </c>
      <c r="W20" s="470">
        <f t="shared" si="1"/>
        <v>0</v>
      </c>
    </row>
    <row r="21" spans="1:23" ht="14.25">
      <c r="A21" s="413">
        <v>17</v>
      </c>
      <c r="B21" s="409" t="s">
        <v>1384</v>
      </c>
      <c r="C21" s="416">
        <v>9.3686898903161037E-2</v>
      </c>
      <c r="D21" s="416">
        <v>0.14000000000000001</v>
      </c>
      <c r="E21" s="482"/>
      <c r="F21" s="480"/>
      <c r="G21" s="480"/>
      <c r="H21" s="477">
        <f t="shared" ref="H21:K22" si="4">($D21/4*$F$38)</f>
        <v>1.0349629132833523E-2</v>
      </c>
      <c r="I21" s="477">
        <f t="shared" si="4"/>
        <v>1.0349629132833523E-2</v>
      </c>
      <c r="J21" s="477">
        <f t="shared" si="4"/>
        <v>1.0349629132833523E-2</v>
      </c>
      <c r="K21" s="478">
        <f t="shared" si="4"/>
        <v>1.0349629132833523E-2</v>
      </c>
      <c r="L21" s="482"/>
      <c r="M21" s="480"/>
      <c r="N21" s="480"/>
      <c r="O21" s="480"/>
      <c r="P21" s="484"/>
      <c r="Q21" s="476">
        <f t="shared" ref="Q21:S22" si="5">($D21/4*$G$38)</f>
        <v>1.9594601068289065E-2</v>
      </c>
      <c r="R21" s="477">
        <f t="shared" si="5"/>
        <v>1.9594601068289065E-2</v>
      </c>
      <c r="S21" s="477">
        <f t="shared" si="5"/>
        <v>1.9594601068289065E-2</v>
      </c>
      <c r="T21" s="488">
        <f>($D21/4*$G$38)+($D21/3*$E$38)</f>
        <v>2.6335627466792289E-2</v>
      </c>
      <c r="U21" s="488">
        <f>($D21/3*$E$38)</f>
        <v>6.741026398503225E-3</v>
      </c>
      <c r="V21" s="488">
        <f>($D21/3*$E$38)</f>
        <v>6.741026398503225E-3</v>
      </c>
      <c r="W21" s="470">
        <f t="shared" si="1"/>
        <v>0</v>
      </c>
    </row>
    <row r="22" spans="1:23" ht="14.25">
      <c r="A22" s="413">
        <v>18</v>
      </c>
      <c r="B22" s="409" t="s">
        <v>1385</v>
      </c>
      <c r="C22" s="416">
        <v>1.9446160983712754E-2</v>
      </c>
      <c r="D22" s="416">
        <v>1.4999999999999999E-2</v>
      </c>
      <c r="E22" s="482"/>
      <c r="F22" s="480"/>
      <c r="G22" s="480"/>
      <c r="H22" s="477">
        <f t="shared" si="4"/>
        <v>1.1088888356607343E-3</v>
      </c>
      <c r="I22" s="477">
        <f t="shared" si="4"/>
        <v>1.1088888356607343E-3</v>
      </c>
      <c r="J22" s="477">
        <f t="shared" si="4"/>
        <v>1.1088888356607343E-3</v>
      </c>
      <c r="K22" s="478">
        <f t="shared" si="4"/>
        <v>1.1088888356607343E-3</v>
      </c>
      <c r="L22" s="482"/>
      <c r="M22" s="480"/>
      <c r="N22" s="480"/>
      <c r="O22" s="480"/>
      <c r="P22" s="484"/>
      <c r="Q22" s="476">
        <f t="shared" si="5"/>
        <v>2.0994215430309711E-3</v>
      </c>
      <c r="R22" s="477">
        <f t="shared" si="5"/>
        <v>2.0994215430309711E-3</v>
      </c>
      <c r="S22" s="477">
        <f t="shared" si="5"/>
        <v>2.0994215430309711E-3</v>
      </c>
      <c r="T22" s="488">
        <f>($D22/4*$G$38)+($D22/3*$E$38)</f>
        <v>2.8216743714420309E-3</v>
      </c>
      <c r="U22" s="488">
        <f>($D22/3*$E$38)</f>
        <v>7.2225282841105974E-4</v>
      </c>
      <c r="V22" s="488">
        <f>($D22/3*$E$38)</f>
        <v>7.2225282841105974E-4</v>
      </c>
      <c r="W22" s="470">
        <f t="shared" si="1"/>
        <v>0</v>
      </c>
    </row>
    <row r="23" spans="1:23" ht="14.25">
      <c r="A23" s="413">
        <v>19</v>
      </c>
      <c r="B23" s="409" t="s">
        <v>1391</v>
      </c>
      <c r="C23" s="416">
        <v>3.7611572713217557E-2</v>
      </c>
      <c r="D23" s="416">
        <v>0.04</v>
      </c>
      <c r="E23" s="482"/>
      <c r="F23" s="480"/>
      <c r="G23" s="480"/>
      <c r="H23" s="480"/>
      <c r="I23" s="480"/>
      <c r="J23" s="480"/>
      <c r="K23" s="478">
        <f>($D23*$F$38)</f>
        <v>1.1828147580381167E-2</v>
      </c>
      <c r="L23" s="482"/>
      <c r="M23" s="480"/>
      <c r="N23" s="480"/>
      <c r="O23" s="480"/>
      <c r="P23" s="484"/>
      <c r="Q23" s="482"/>
      <c r="R23" s="480"/>
      <c r="S23" s="480"/>
      <c r="T23" s="480"/>
      <c r="U23" s="477">
        <f>($D23*$G$38)/2+($D23*$E$38)/2</f>
        <v>1.408592620980942E-2</v>
      </c>
      <c r="V23" s="477">
        <f>($D23*$G$38)/2+($D23*$E$38)/2</f>
        <v>1.408592620980942E-2</v>
      </c>
      <c r="W23" s="470">
        <f t="shared" si="1"/>
        <v>0</v>
      </c>
    </row>
    <row r="24" spans="1:23" ht="14.25">
      <c r="A24" s="413">
        <v>20</v>
      </c>
      <c r="B24" s="409" t="s">
        <v>1419</v>
      </c>
      <c r="C24" s="416">
        <v>6.3631288864043956E-2</v>
      </c>
      <c r="D24" s="416">
        <v>4.4999999999999998E-2</v>
      </c>
      <c r="E24" s="482"/>
      <c r="F24" s="480"/>
      <c r="G24" s="480"/>
      <c r="H24" s="480"/>
      <c r="I24" s="480"/>
      <c r="J24" s="477">
        <f>($D24/2*$F$38)</f>
        <v>6.6533330139644069E-3</v>
      </c>
      <c r="K24" s="478">
        <f>($D24/2*$F$38)</f>
        <v>6.6533330139644069E-3</v>
      </c>
      <c r="L24" s="482"/>
      <c r="M24" s="480"/>
      <c r="N24" s="480"/>
      <c r="O24" s="480"/>
      <c r="P24" s="484"/>
      <c r="Q24" s="482"/>
      <c r="R24" s="480"/>
      <c r="S24" s="480"/>
      <c r="T24" s="477">
        <f>($D24/3*$G$38)</f>
        <v>8.3976861721238843E-3</v>
      </c>
      <c r="U24" s="477">
        <f>($D24/3*$G$38)+D24*E38/2</f>
        <v>1.1647823899973653E-2</v>
      </c>
      <c r="V24" s="478">
        <f>($D24/3*$G$38)+D24*E38/2</f>
        <v>1.1647823899973653E-2</v>
      </c>
      <c r="W24" s="470">
        <f t="shared" si="1"/>
        <v>0</v>
      </c>
    </row>
    <row r="25" spans="1:23" ht="14.25">
      <c r="A25" s="413">
        <v>21</v>
      </c>
      <c r="B25" s="410" t="s">
        <v>1386</v>
      </c>
      <c r="C25" s="421">
        <v>3.3873957842596412E-3</v>
      </c>
      <c r="D25" s="421">
        <v>0.01</v>
      </c>
      <c r="E25" s="431"/>
      <c r="F25" s="432"/>
      <c r="G25" s="432"/>
      <c r="H25" s="432"/>
      <c r="I25" s="432"/>
      <c r="J25" s="432"/>
      <c r="K25" s="428">
        <f>($D25*$F$38)</f>
        <v>2.9570368950952918E-3</v>
      </c>
      <c r="L25" s="431"/>
      <c r="M25" s="432"/>
      <c r="N25" s="432"/>
      <c r="O25" s="432"/>
      <c r="P25" s="433"/>
      <c r="Q25" s="431"/>
      <c r="R25" s="432"/>
      <c r="S25" s="432"/>
      <c r="T25" s="432"/>
      <c r="U25" s="423"/>
      <c r="V25" s="428">
        <f>($D25*$G$38)+D25*E38</f>
        <v>7.0429631049047101E-3</v>
      </c>
      <c r="W25" s="470">
        <f t="shared" si="1"/>
        <v>0</v>
      </c>
    </row>
    <row r="26" spans="1:23" ht="17.25" customHeight="1">
      <c r="B26" s="447">
        <v>7000000</v>
      </c>
      <c r="C26" s="467"/>
      <c r="D26" s="434">
        <f>SUM(D5:D25)</f>
        <v>1.0000000000000002</v>
      </c>
      <c r="E26" s="468" t="s">
        <v>1400</v>
      </c>
      <c r="F26" s="435" t="s">
        <v>1401</v>
      </c>
      <c r="G26" s="435" t="s">
        <v>1402</v>
      </c>
      <c r="H26" s="435" t="s">
        <v>1403</v>
      </c>
      <c r="I26" s="435" t="s">
        <v>1404</v>
      </c>
      <c r="J26" s="435" t="s">
        <v>1405</v>
      </c>
      <c r="K26" s="462" t="s">
        <v>1406</v>
      </c>
      <c r="L26" s="451" t="s">
        <v>1407</v>
      </c>
      <c r="M26" s="435" t="s">
        <v>1408</v>
      </c>
      <c r="N26" s="435" t="s">
        <v>1409</v>
      </c>
      <c r="O26" s="435" t="s">
        <v>1410</v>
      </c>
      <c r="P26" s="462" t="s">
        <v>1411</v>
      </c>
      <c r="Q26" s="451" t="s">
        <v>1412</v>
      </c>
      <c r="R26" s="435" t="s">
        <v>1413</v>
      </c>
      <c r="S26" s="435" t="s">
        <v>1414</v>
      </c>
      <c r="T26" s="435" t="s">
        <v>1415</v>
      </c>
      <c r="U26" s="435" t="s">
        <v>1416</v>
      </c>
      <c r="V26" s="462" t="s">
        <v>1417</v>
      </c>
    </row>
    <row r="27" spans="1:23" ht="30" customHeight="1">
      <c r="B27" s="448"/>
      <c r="C27" s="422"/>
      <c r="D27" s="449"/>
      <c r="E27" s="591" t="s">
        <v>1420</v>
      </c>
      <c r="F27" s="592"/>
      <c r="G27" s="592"/>
      <c r="H27" s="592"/>
      <c r="I27" s="592"/>
      <c r="J27" s="592"/>
      <c r="K27" s="593"/>
      <c r="L27" s="582" t="s">
        <v>1421</v>
      </c>
      <c r="M27" s="583"/>
      <c r="N27" s="583"/>
      <c r="O27" s="583"/>
      <c r="P27" s="584"/>
      <c r="Q27" s="582" t="s">
        <v>1422</v>
      </c>
      <c r="R27" s="583"/>
      <c r="S27" s="583"/>
      <c r="T27" s="583"/>
      <c r="U27" s="583"/>
      <c r="V27" s="584"/>
    </row>
    <row r="28" spans="1:23" ht="28.5" customHeight="1">
      <c r="B28" s="422"/>
      <c r="C28" s="422"/>
      <c r="D28" s="422"/>
      <c r="E28" s="475">
        <v>42186</v>
      </c>
      <c r="F28" s="415">
        <v>42217</v>
      </c>
      <c r="G28" s="415">
        <v>42248</v>
      </c>
      <c r="H28" s="415">
        <v>42278</v>
      </c>
      <c r="I28" s="415">
        <v>42309</v>
      </c>
      <c r="J28" s="415">
        <v>42339</v>
      </c>
      <c r="K28" s="456">
        <v>42370</v>
      </c>
      <c r="L28" s="452">
        <v>42401</v>
      </c>
      <c r="M28" s="415">
        <v>42430</v>
      </c>
      <c r="N28" s="415">
        <v>42461</v>
      </c>
      <c r="O28" s="415">
        <v>42491</v>
      </c>
      <c r="P28" s="463">
        <v>42522</v>
      </c>
      <c r="Q28" s="452">
        <v>42552</v>
      </c>
      <c r="R28" s="415">
        <v>42583</v>
      </c>
      <c r="S28" s="415">
        <v>42614</v>
      </c>
      <c r="T28" s="415">
        <v>42644</v>
      </c>
      <c r="U28" s="415">
        <v>42675</v>
      </c>
      <c r="V28" s="469">
        <v>42705</v>
      </c>
    </row>
    <row r="29" spans="1:23" ht="24" customHeight="1">
      <c r="E29" s="441">
        <f>SUM(E5:E25)</f>
        <v>3.7778073194035255E-2</v>
      </c>
      <c r="F29" s="442">
        <f t="shared" ref="F29:V29" si="6">SUM(F5:F25)</f>
        <v>4.3773035149211825E-2</v>
      </c>
      <c r="G29" s="442">
        <f t="shared" si="6"/>
        <v>4.436444252823088E-2</v>
      </c>
      <c r="H29" s="442">
        <f t="shared" si="6"/>
        <v>4.1037776021248681E-2</v>
      </c>
      <c r="I29" s="442">
        <f t="shared" si="6"/>
        <v>3.6602220678605746E-2</v>
      </c>
      <c r="J29" s="442">
        <f t="shared" si="6"/>
        <v>5.0648145930308378E-2</v>
      </c>
      <c r="K29" s="457">
        <f t="shared" si="6"/>
        <v>8.9913333918843041E-2</v>
      </c>
      <c r="L29" s="441">
        <f t="shared" si="6"/>
        <v>2.0120125299075701E-2</v>
      </c>
      <c r="M29" s="442">
        <f t="shared" si="6"/>
        <v>4.1674186474193672E-2</v>
      </c>
      <c r="N29" s="442">
        <f t="shared" si="6"/>
        <v>4.2234032219001925E-2</v>
      </c>
      <c r="O29" s="442">
        <f t="shared" si="6"/>
        <v>5.0631718391125811E-2</v>
      </c>
      <c r="P29" s="443">
        <f t="shared" si="6"/>
        <v>6.3849344362206947E-2</v>
      </c>
      <c r="Q29" s="441">
        <f t="shared" si="6"/>
        <v>6.7681374271106973E-2</v>
      </c>
      <c r="R29" s="442">
        <f t="shared" si="6"/>
        <v>6.5233894491152161E-2</v>
      </c>
      <c r="S29" s="442">
        <f t="shared" si="6"/>
        <v>4.7446921549684495E-2</v>
      </c>
      <c r="T29" s="442">
        <f t="shared" si="6"/>
        <v>8.5822757564386121E-2</v>
      </c>
      <c r="U29" s="442">
        <f t="shared" si="6"/>
        <v>8.6655242574007113E-2</v>
      </c>
      <c r="V29" s="443">
        <f t="shared" si="6"/>
        <v>8.4533375383575401E-2</v>
      </c>
    </row>
    <row r="30" spans="1:23" ht="6" customHeight="1">
      <c r="E30" s="453"/>
      <c r="F30" s="458"/>
      <c r="G30" s="458"/>
      <c r="H30" s="458"/>
      <c r="I30" s="458"/>
      <c r="J30" s="458"/>
      <c r="K30" s="459"/>
      <c r="L30" s="453"/>
      <c r="M30" s="458"/>
      <c r="N30" s="458"/>
      <c r="O30" s="458"/>
      <c r="P30" s="464"/>
      <c r="Q30" s="453"/>
      <c r="R30" s="458"/>
      <c r="S30" s="458"/>
      <c r="T30" s="458"/>
      <c r="U30" s="458"/>
      <c r="V30" s="464"/>
    </row>
    <row r="31" spans="1:23" ht="123.75" customHeight="1">
      <c r="E31" s="444">
        <f>E29*$B26</f>
        <v>264446.51235824678</v>
      </c>
      <c r="F31" s="445">
        <f t="shared" ref="F31:U31" si="7">F29*$B26</f>
        <v>306411.2460444828</v>
      </c>
      <c r="G31" s="445">
        <f t="shared" si="7"/>
        <v>310551.09769761615</v>
      </c>
      <c r="H31" s="445">
        <f t="shared" si="7"/>
        <v>287264.43214874074</v>
      </c>
      <c r="I31" s="445">
        <f t="shared" si="7"/>
        <v>256215.54475024022</v>
      </c>
      <c r="J31" s="445">
        <f t="shared" si="7"/>
        <v>354537.02151215862</v>
      </c>
      <c r="K31" s="460">
        <f t="shared" si="7"/>
        <v>629393.33743190125</v>
      </c>
      <c r="L31" s="454">
        <f t="shared" si="7"/>
        <v>140840.87709352991</v>
      </c>
      <c r="M31" s="445">
        <f t="shared" si="7"/>
        <v>291719.30531935568</v>
      </c>
      <c r="N31" s="445">
        <f t="shared" si="7"/>
        <v>295638.22553301346</v>
      </c>
      <c r="O31" s="445">
        <f t="shared" si="7"/>
        <v>354422.0287378807</v>
      </c>
      <c r="P31" s="465">
        <f t="shared" si="7"/>
        <v>446945.41053544864</v>
      </c>
      <c r="Q31" s="454">
        <f t="shared" si="7"/>
        <v>473769.61989774881</v>
      </c>
      <c r="R31" s="445">
        <f t="shared" si="7"/>
        <v>456637.26143806515</v>
      </c>
      <c r="S31" s="445">
        <f t="shared" si="7"/>
        <v>332128.45084779145</v>
      </c>
      <c r="T31" s="445">
        <f t="shared" si="7"/>
        <v>600759.30295070284</v>
      </c>
      <c r="U31" s="445">
        <f t="shared" si="7"/>
        <v>606586.69801804982</v>
      </c>
      <c r="V31" s="466">
        <f>V29*$B26</f>
        <v>591733.62768502778</v>
      </c>
    </row>
    <row r="32" spans="1:23" ht="24" customHeight="1">
      <c r="E32" s="441">
        <f>E29</f>
        <v>3.7778073194035255E-2</v>
      </c>
      <c r="F32" s="442">
        <f t="shared" ref="F32:V32" si="8">F29+E32</f>
        <v>8.1551108343247081E-2</v>
      </c>
      <c r="G32" s="442">
        <f t="shared" si="8"/>
        <v>0.12591555087147796</v>
      </c>
      <c r="H32" s="442">
        <f t="shared" si="8"/>
        <v>0.16695332689272663</v>
      </c>
      <c r="I32" s="442">
        <f t="shared" si="8"/>
        <v>0.20355554757133237</v>
      </c>
      <c r="J32" s="442">
        <f t="shared" si="8"/>
        <v>0.25420369350164074</v>
      </c>
      <c r="K32" s="473">
        <f t="shared" si="8"/>
        <v>0.34411702742048378</v>
      </c>
      <c r="L32" s="471">
        <f t="shared" si="8"/>
        <v>0.36423715271955948</v>
      </c>
      <c r="M32" s="472">
        <f t="shared" si="8"/>
        <v>0.40591133919375316</v>
      </c>
      <c r="N32" s="472">
        <f t="shared" si="8"/>
        <v>0.44814537141275507</v>
      </c>
      <c r="O32" s="472">
        <f t="shared" si="8"/>
        <v>0.49877708980388086</v>
      </c>
      <c r="P32" s="474">
        <f t="shared" si="8"/>
        <v>0.56262643416608782</v>
      </c>
      <c r="Q32" s="471">
        <f t="shared" si="8"/>
        <v>0.63030780843719481</v>
      </c>
      <c r="R32" s="472">
        <f t="shared" si="8"/>
        <v>0.69554170292834694</v>
      </c>
      <c r="S32" s="472">
        <f t="shared" si="8"/>
        <v>0.74298862447803149</v>
      </c>
      <c r="T32" s="472">
        <f t="shared" si="8"/>
        <v>0.82881138204241767</v>
      </c>
      <c r="U32" s="472">
        <f t="shared" si="8"/>
        <v>0.91546662461642481</v>
      </c>
      <c r="V32" s="474">
        <f t="shared" si="8"/>
        <v>1.0000000000000002</v>
      </c>
    </row>
    <row r="33" spans="5:22" ht="146.25" customHeight="1">
      <c r="E33" s="444">
        <f>E31</f>
        <v>264446.51235824678</v>
      </c>
      <c r="F33" s="445">
        <f>F31+E33</f>
        <v>570857.75840272964</v>
      </c>
      <c r="G33" s="445">
        <f t="shared" ref="G33:V33" si="9">G31+F33</f>
        <v>881408.85610034573</v>
      </c>
      <c r="H33" s="445">
        <f t="shared" si="9"/>
        <v>1168673.2882490866</v>
      </c>
      <c r="I33" s="445">
        <f t="shared" si="9"/>
        <v>1424888.8329993268</v>
      </c>
      <c r="J33" s="445">
        <f t="shared" si="9"/>
        <v>1779425.8545114854</v>
      </c>
      <c r="K33" s="461">
        <f t="shared" si="9"/>
        <v>2408819.1919433866</v>
      </c>
      <c r="L33" s="454">
        <f t="shared" si="9"/>
        <v>2549660.0690369164</v>
      </c>
      <c r="M33" s="445">
        <f t="shared" si="9"/>
        <v>2841379.3743562722</v>
      </c>
      <c r="N33" s="445">
        <f t="shared" si="9"/>
        <v>3137017.5998892859</v>
      </c>
      <c r="O33" s="445">
        <f t="shared" si="9"/>
        <v>3491439.6286271666</v>
      </c>
      <c r="P33" s="490">
        <f t="shared" si="9"/>
        <v>3938385.0391626153</v>
      </c>
      <c r="Q33" s="454">
        <f t="shared" si="9"/>
        <v>4412154.6590603646</v>
      </c>
      <c r="R33" s="445">
        <f t="shared" si="9"/>
        <v>4868791.9204984298</v>
      </c>
      <c r="S33" s="445">
        <f t="shared" si="9"/>
        <v>5200920.3713462213</v>
      </c>
      <c r="T33" s="445">
        <f t="shared" si="9"/>
        <v>5801679.6742969239</v>
      </c>
      <c r="U33" s="445">
        <f t="shared" si="9"/>
        <v>6408266.3723149737</v>
      </c>
      <c r="V33" s="490">
        <f t="shared" si="9"/>
        <v>7000000.0000000019</v>
      </c>
    </row>
    <row r="36" spans="5:22">
      <c r="E36" s="413" t="s">
        <v>1082</v>
      </c>
      <c r="F36" s="413" t="s">
        <v>1082</v>
      </c>
      <c r="G36" s="413" t="s">
        <v>1082</v>
      </c>
    </row>
    <row r="37" spans="5:22" ht="19.5" customHeight="1">
      <c r="E37" s="491" t="s">
        <v>1397</v>
      </c>
      <c r="F37" s="492" t="s">
        <v>1398</v>
      </c>
      <c r="G37" s="493" t="s">
        <v>1399</v>
      </c>
    </row>
    <row r="38" spans="5:22" ht="25.5" customHeight="1">
      <c r="E38" s="494">
        <f>(542.76/3757.41)</f>
        <v>0.14445056568221196</v>
      </c>
      <c r="F38" s="495">
        <f>(1111.08/3757.41)</f>
        <v>0.29570368950952919</v>
      </c>
      <c r="G38" s="496">
        <f>(2103.57/3757.41)</f>
        <v>0.55984574480825899</v>
      </c>
    </row>
    <row r="39" spans="5:22" ht="136.5">
      <c r="E39" s="444">
        <f>+E38*$B26</f>
        <v>1011153.9597754837</v>
      </c>
      <c r="F39" s="444">
        <f t="shared" ref="F39:G39" si="10">+F38*$B26</f>
        <v>2069925.8265667043</v>
      </c>
      <c r="G39" s="444">
        <f t="shared" si="10"/>
        <v>3918920.2136578131</v>
      </c>
    </row>
    <row r="40" spans="5:22" ht="19.5" customHeight="1">
      <c r="E40" s="585">
        <f>+E39+F39+G39</f>
        <v>7000000.0000000009</v>
      </c>
      <c r="F40" s="586"/>
      <c r="G40" s="586"/>
    </row>
  </sheetData>
  <mergeCells count="6">
    <mergeCell ref="Q27:V27"/>
    <mergeCell ref="E40:G40"/>
    <mergeCell ref="B2:B3"/>
    <mergeCell ref="D2:D3"/>
    <mergeCell ref="E27:K27"/>
    <mergeCell ref="L27:P27"/>
  </mergeCells>
  <conditionalFormatting sqref="B4:B28 E38:G38 C3:C28 D26:D28 Q9:V9 D9:O9 D4:V8 D10:V25">
    <cfRule type="expression" dxfId="2" priority="4">
      <formula>MOD(ROW(),2)=0</formula>
    </cfRule>
  </conditionalFormatting>
  <conditionalFormatting sqref="P9">
    <cfRule type="expression" dxfId="1" priority="1">
      <formula>MOD(ROW(),2)=0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4"/>
  <sheetViews>
    <sheetView showGridLines="0" tabSelected="1" zoomScaleNormal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28" sqref="E28"/>
    </sheetView>
  </sheetViews>
  <sheetFormatPr defaultColWidth="0" defaultRowHeight="12.75"/>
  <cols>
    <col min="1" max="1" width="5.140625" style="413" customWidth="1"/>
    <col min="2" max="2" width="47.140625" style="413" customWidth="1"/>
    <col min="3" max="3" width="12.42578125" style="413" hidden="1" customWidth="1"/>
    <col min="4" max="4" width="14" style="413" customWidth="1"/>
    <col min="5" max="5" width="8.5703125" style="413" customWidth="1"/>
    <col min="6" max="7" width="8.42578125" style="413" customWidth="1"/>
    <col min="8" max="10" width="8.28515625" style="413" customWidth="1"/>
    <col min="11" max="11" width="8.42578125" style="413" customWidth="1"/>
    <col min="12" max="21" width="7.7109375" style="413" customWidth="1"/>
    <col min="22" max="22" width="8.28515625" style="413" customWidth="1"/>
    <col min="23" max="23" width="7.7109375" style="413" customWidth="1"/>
    <col min="24" max="29" width="7.7109375" style="413" hidden="1" customWidth="1"/>
    <col min="30" max="16384" width="9.140625" style="413" hidden="1"/>
  </cols>
  <sheetData>
    <row r="1" spans="1:23" ht="6" customHeight="1"/>
    <row r="2" spans="1:23" s="411" customFormat="1" ht="15.75" customHeight="1">
      <c r="B2" s="587" t="s">
        <v>1418</v>
      </c>
      <c r="C2" s="412"/>
      <c r="D2" s="589" t="s">
        <v>1390</v>
      </c>
      <c r="E2" s="436" t="s">
        <v>1400</v>
      </c>
      <c r="F2" s="437" t="s">
        <v>1401</v>
      </c>
      <c r="G2" s="437" t="s">
        <v>1402</v>
      </c>
      <c r="H2" s="437" t="s">
        <v>1403</v>
      </c>
      <c r="I2" s="437" t="s">
        <v>1404</v>
      </c>
      <c r="J2" s="437" t="s">
        <v>1405</v>
      </c>
      <c r="K2" s="446" t="s">
        <v>1406</v>
      </c>
      <c r="L2" s="450" t="s">
        <v>1407</v>
      </c>
      <c r="M2" s="437" t="s">
        <v>1408</v>
      </c>
      <c r="N2" s="437" t="s">
        <v>1409</v>
      </c>
      <c r="O2" s="437" t="s">
        <v>1410</v>
      </c>
      <c r="P2" s="446" t="s">
        <v>1411</v>
      </c>
      <c r="Q2" s="450" t="s">
        <v>1412</v>
      </c>
      <c r="R2" s="437" t="s">
        <v>1413</v>
      </c>
      <c r="S2" s="437" t="s">
        <v>1414</v>
      </c>
      <c r="T2" s="437" t="s">
        <v>1415</v>
      </c>
      <c r="U2" s="437" t="s">
        <v>1416</v>
      </c>
      <c r="V2" s="446" t="s">
        <v>1417</v>
      </c>
    </row>
    <row r="3" spans="1:23" ht="21.75" customHeight="1">
      <c r="B3" s="588"/>
      <c r="C3" s="414"/>
      <c r="D3" s="590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38"/>
      <c r="P3" s="438"/>
      <c r="Q3" s="438"/>
      <c r="R3" s="438"/>
      <c r="S3" s="438"/>
      <c r="T3" s="438"/>
      <c r="U3" s="438"/>
      <c r="V3" s="438"/>
    </row>
    <row r="4" spans="1:23" ht="14.25" hidden="1">
      <c r="B4" s="424" t="s">
        <v>1393</v>
      </c>
      <c r="C4" s="416">
        <f>(2.30613904992396)/100</f>
        <v>2.3061390499239599E-2</v>
      </c>
      <c r="D4" s="417" t="s">
        <v>1082</v>
      </c>
      <c r="E4" s="430"/>
      <c r="F4" s="418"/>
      <c r="G4" s="418"/>
      <c r="H4" s="418"/>
      <c r="I4" s="418"/>
      <c r="J4" s="418"/>
      <c r="K4" s="429"/>
      <c r="L4" s="430"/>
      <c r="M4" s="418"/>
      <c r="N4" s="418"/>
      <c r="O4" s="418"/>
      <c r="P4" s="429"/>
      <c r="Q4" s="430"/>
      <c r="R4" s="418"/>
      <c r="S4" s="418"/>
      <c r="T4" s="418"/>
      <c r="U4" s="418"/>
      <c r="V4" s="429"/>
    </row>
    <row r="5" spans="1:23" ht="14.25">
      <c r="A5" s="413">
        <v>1</v>
      </c>
      <c r="B5" s="408" t="s">
        <v>1429</v>
      </c>
      <c r="C5" s="419">
        <f>(1.43614603581086%)</f>
        <v>1.43614603581086E-2</v>
      </c>
      <c r="D5" s="420">
        <f>1.54/80.88</f>
        <v>1.904055390702275E-2</v>
      </c>
      <c r="E5" s="425">
        <f>$D5/18</f>
        <v>1.0578085503901529E-3</v>
      </c>
      <c r="F5" s="426">
        <f t="shared" ref="F5:V6" si="0">$D5/18</f>
        <v>1.0578085503901529E-3</v>
      </c>
      <c r="G5" s="426">
        <f t="shared" si="0"/>
        <v>1.0578085503901529E-3</v>
      </c>
      <c r="H5" s="426">
        <f t="shared" si="0"/>
        <v>1.0578085503901529E-3</v>
      </c>
      <c r="I5" s="426">
        <f t="shared" si="0"/>
        <v>1.0578085503901529E-3</v>
      </c>
      <c r="J5" s="426">
        <f t="shared" si="0"/>
        <v>1.0578085503901529E-3</v>
      </c>
      <c r="K5" s="427">
        <f t="shared" si="0"/>
        <v>1.0578085503901529E-3</v>
      </c>
      <c r="L5" s="425">
        <f t="shared" si="0"/>
        <v>1.0578085503901529E-3</v>
      </c>
      <c r="M5" s="426">
        <f t="shared" si="0"/>
        <v>1.0578085503901529E-3</v>
      </c>
      <c r="N5" s="426">
        <f t="shared" si="0"/>
        <v>1.0578085503901529E-3</v>
      </c>
      <c r="O5" s="426">
        <f t="shared" si="0"/>
        <v>1.0578085503901529E-3</v>
      </c>
      <c r="P5" s="427">
        <f t="shared" si="0"/>
        <v>1.0578085503901529E-3</v>
      </c>
      <c r="Q5" s="425">
        <f t="shared" si="0"/>
        <v>1.0578085503901529E-3</v>
      </c>
      <c r="R5" s="426">
        <f t="shared" si="0"/>
        <v>1.0578085503901529E-3</v>
      </c>
      <c r="S5" s="426">
        <f t="shared" si="0"/>
        <v>1.0578085503901529E-3</v>
      </c>
      <c r="T5" s="426">
        <f t="shared" si="0"/>
        <v>1.0578085503901529E-3</v>
      </c>
      <c r="U5" s="426">
        <f t="shared" si="0"/>
        <v>1.0578085503901529E-3</v>
      </c>
      <c r="V5" s="427">
        <f t="shared" si="0"/>
        <v>1.0578085503901529E-3</v>
      </c>
      <c r="W5" s="507">
        <f>SUM(E5:V5)-D5</f>
        <v>0</v>
      </c>
    </row>
    <row r="6" spans="1:23" ht="14.25">
      <c r="A6" s="413">
        <v>2</v>
      </c>
      <c r="B6" s="497" t="s">
        <v>1430</v>
      </c>
      <c r="C6" s="498">
        <v>0.11838560597358802</v>
      </c>
      <c r="D6" s="506">
        <f>(5.08)/80.88</f>
        <v>6.2809099901088031E-2</v>
      </c>
      <c r="E6" s="499">
        <f>$D6/18</f>
        <v>3.489394438949335E-3</v>
      </c>
      <c r="F6" s="500">
        <f t="shared" si="0"/>
        <v>3.489394438949335E-3</v>
      </c>
      <c r="G6" s="500">
        <f t="shared" si="0"/>
        <v>3.489394438949335E-3</v>
      </c>
      <c r="H6" s="500">
        <f t="shared" si="0"/>
        <v>3.489394438949335E-3</v>
      </c>
      <c r="I6" s="500">
        <f t="shared" si="0"/>
        <v>3.489394438949335E-3</v>
      </c>
      <c r="J6" s="500">
        <f t="shared" si="0"/>
        <v>3.489394438949335E-3</v>
      </c>
      <c r="K6" s="501">
        <f t="shared" si="0"/>
        <v>3.489394438949335E-3</v>
      </c>
      <c r="L6" s="499">
        <f t="shared" si="0"/>
        <v>3.489394438949335E-3</v>
      </c>
      <c r="M6" s="500">
        <f t="shared" si="0"/>
        <v>3.489394438949335E-3</v>
      </c>
      <c r="N6" s="500">
        <f t="shared" si="0"/>
        <v>3.489394438949335E-3</v>
      </c>
      <c r="O6" s="500">
        <f t="shared" si="0"/>
        <v>3.489394438949335E-3</v>
      </c>
      <c r="P6" s="501">
        <f t="shared" si="0"/>
        <v>3.489394438949335E-3</v>
      </c>
      <c r="Q6" s="499">
        <f t="shared" si="0"/>
        <v>3.489394438949335E-3</v>
      </c>
      <c r="R6" s="500">
        <f t="shared" si="0"/>
        <v>3.489394438949335E-3</v>
      </c>
      <c r="S6" s="500">
        <f t="shared" si="0"/>
        <v>3.489394438949335E-3</v>
      </c>
      <c r="T6" s="500">
        <f t="shared" si="0"/>
        <v>3.489394438949335E-3</v>
      </c>
      <c r="U6" s="500">
        <f t="shared" si="0"/>
        <v>3.489394438949335E-3</v>
      </c>
      <c r="V6" s="501">
        <f t="shared" si="0"/>
        <v>3.489394438949335E-3</v>
      </c>
      <c r="W6" s="507">
        <f t="shared" ref="W6:W25" si="1">SUM(E6:V6)-D6</f>
        <v>0</v>
      </c>
    </row>
    <row r="7" spans="1:23" ht="14.25" hidden="1">
      <c r="A7" s="413">
        <v>3</v>
      </c>
      <c r="B7" s="409" t="s">
        <v>1082</v>
      </c>
      <c r="C7" s="416">
        <v>1.7493396316593787E-2</v>
      </c>
      <c r="D7" s="420">
        <v>0</v>
      </c>
      <c r="E7" s="479">
        <f>D7*F38</f>
        <v>0</v>
      </c>
      <c r="F7" s="480"/>
      <c r="G7" s="480"/>
      <c r="H7" s="480"/>
      <c r="I7" s="480"/>
      <c r="J7" s="480"/>
      <c r="K7" s="481">
        <f>D7*G38</f>
        <v>0</v>
      </c>
      <c r="L7" s="482"/>
      <c r="M7" s="480"/>
      <c r="N7" s="480"/>
      <c r="O7" s="480"/>
      <c r="P7" s="481">
        <f>$D7*$E38</f>
        <v>0</v>
      </c>
      <c r="Q7" s="483" t="s">
        <v>1082</v>
      </c>
      <c r="R7" s="480"/>
      <c r="S7" s="480"/>
      <c r="T7" s="480"/>
      <c r="U7" s="480"/>
      <c r="V7" s="484"/>
      <c r="W7" s="507">
        <f t="shared" si="1"/>
        <v>0</v>
      </c>
    </row>
    <row r="8" spans="1:23" ht="14.25">
      <c r="A8" s="413">
        <v>4</v>
      </c>
      <c r="B8" s="409" t="s">
        <v>1284</v>
      </c>
      <c r="C8" s="416">
        <v>3.7848933910711313E-2</v>
      </c>
      <c r="D8" s="420">
        <f>0.31/80.88</f>
        <v>3.8328387734915927E-3</v>
      </c>
      <c r="E8" s="483">
        <f>D8*0.7</f>
        <v>2.6829871414441146E-3</v>
      </c>
      <c r="F8" s="480"/>
      <c r="G8" s="480"/>
      <c r="H8" s="480"/>
      <c r="I8" s="480"/>
      <c r="J8" s="480"/>
      <c r="K8" s="478">
        <f>0.3*D8</f>
        <v>1.1498516320474779E-3</v>
      </c>
      <c r="L8" s="482"/>
      <c r="M8" s="480"/>
      <c r="N8" s="480"/>
      <c r="O8" s="480"/>
      <c r="P8" s="484"/>
      <c r="Q8" s="482"/>
      <c r="R8" s="480"/>
      <c r="S8" s="480"/>
      <c r="T8" s="480"/>
      <c r="U8" s="480"/>
      <c r="V8" s="484"/>
      <c r="W8" s="507">
        <f t="shared" si="1"/>
        <v>0</v>
      </c>
    </row>
    <row r="9" spans="1:23" ht="14.25">
      <c r="A9" s="413">
        <v>5</v>
      </c>
      <c r="B9" s="497" t="s">
        <v>1395</v>
      </c>
      <c r="C9" s="498">
        <v>6.1675565322389825E-2</v>
      </c>
      <c r="D9" s="506">
        <f>(3.57+0.21+2.52+0.25*7.08)/80.88</f>
        <v>9.9777448071216621E-2</v>
      </c>
      <c r="E9" s="499">
        <f>$D9*0.6*$F$38</f>
        <v>1.6163946587537094E-2</v>
      </c>
      <c r="F9" s="500">
        <f>$D9*0.4*$F$38</f>
        <v>1.0775964391691397E-2</v>
      </c>
      <c r="G9" s="500"/>
      <c r="H9" s="500"/>
      <c r="I9" s="500"/>
      <c r="J9" s="500"/>
      <c r="K9" s="501">
        <f>$D9*0.4*$G$38</f>
        <v>2.3946587537091991E-2</v>
      </c>
      <c r="L9" s="499">
        <f>$D9*0.4*$G$38</f>
        <v>2.3946587537091991E-2</v>
      </c>
      <c r="M9" s="500">
        <f>$D9*0.2*$G$38</f>
        <v>1.1973293768545995E-2</v>
      </c>
      <c r="N9" s="500"/>
      <c r="O9" s="500"/>
      <c r="P9" s="501">
        <f>$D9*$E$38*0.8</f>
        <v>1.0376854599406529E-2</v>
      </c>
      <c r="Q9" s="499">
        <f>$D9*$E$38*0.2</f>
        <v>2.5942136498516323E-3</v>
      </c>
      <c r="R9" s="500"/>
      <c r="S9" s="500"/>
      <c r="T9" s="500"/>
      <c r="U9" s="500"/>
      <c r="V9" s="501"/>
      <c r="W9" s="507">
        <f t="shared" si="1"/>
        <v>0</v>
      </c>
    </row>
    <row r="10" spans="1:23" ht="14.25">
      <c r="A10" s="413">
        <v>6</v>
      </c>
      <c r="B10" s="409" t="s">
        <v>1396</v>
      </c>
      <c r="C10" s="416">
        <v>0.17596546281997585</v>
      </c>
      <c r="D10" s="420">
        <f>(3.09+0.75*7.08+3.46+2.91)/80.88</f>
        <v>0.1826162215628091</v>
      </c>
      <c r="E10" s="476"/>
      <c r="F10" s="477">
        <f>($D10/2*$F$38)</f>
        <v>2.4653189910979229E-2</v>
      </c>
      <c r="G10" s="477">
        <f>($D10/2*$F$38)</f>
        <v>2.4653189910979229E-2</v>
      </c>
      <c r="H10" s="477" t="s">
        <v>1082</v>
      </c>
      <c r="I10" s="477" t="s">
        <v>1082</v>
      </c>
      <c r="J10" s="477" t="s">
        <v>1082</v>
      </c>
      <c r="K10" s="478" t="s">
        <v>1082</v>
      </c>
      <c r="L10" s="476" t="s">
        <v>1082</v>
      </c>
      <c r="M10" s="477">
        <f>($D10/4*$G$38)</f>
        <v>2.7392433234421365E-2</v>
      </c>
      <c r="N10" s="477">
        <f>($D10/4*$G$38)</f>
        <v>2.7392433234421365E-2</v>
      </c>
      <c r="O10" s="477">
        <f>($D10/4*$G$38)</f>
        <v>2.7392433234421365E-2</v>
      </c>
      <c r="P10" s="478">
        <f>($D10/4*$G$38)</f>
        <v>2.7392433234421365E-2</v>
      </c>
      <c r="Q10" s="476">
        <f>($D10/2*$E$38)</f>
        <v>1.1870054401582592E-2</v>
      </c>
      <c r="R10" s="477">
        <f>($D10/2*$E$38)</f>
        <v>1.1870054401582592E-2</v>
      </c>
      <c r="S10" s="477" t="s">
        <v>1082</v>
      </c>
      <c r="T10" s="477"/>
      <c r="U10" s="477"/>
      <c r="V10" s="478"/>
      <c r="W10" s="507">
        <f t="shared" si="1"/>
        <v>0</v>
      </c>
    </row>
    <row r="11" spans="1:23" ht="14.25">
      <c r="A11" s="413">
        <v>7</v>
      </c>
      <c r="B11" s="409" t="s">
        <v>1423</v>
      </c>
      <c r="C11" s="416">
        <v>3.0557132803842178E-3</v>
      </c>
      <c r="D11" s="420">
        <f>5.36/80.88</f>
        <v>6.6271018793273989E-2</v>
      </c>
      <c r="E11" s="476"/>
      <c r="F11" s="477"/>
      <c r="G11" s="477"/>
      <c r="H11" s="477">
        <f>D11*F38</f>
        <v>1.7893175074183979E-2</v>
      </c>
      <c r="I11" s="477"/>
      <c r="J11" s="477"/>
      <c r="K11" s="478"/>
      <c r="L11" s="476"/>
      <c r="M11" s="477"/>
      <c r="N11" s="477"/>
      <c r="O11" s="477"/>
      <c r="P11" s="478">
        <f>($D11*$G$38)*0.4</f>
        <v>1.5905044510385758E-2</v>
      </c>
      <c r="Q11" s="476">
        <f>($D11*$G$38)*0.6</f>
        <v>2.3857566765578635E-2</v>
      </c>
      <c r="R11" s="477"/>
      <c r="S11" s="477">
        <f>($D11*$E$38)</f>
        <v>8.6152324431256182E-3</v>
      </c>
      <c r="T11" s="477"/>
      <c r="U11" s="477"/>
      <c r="V11" s="478"/>
      <c r="W11" s="507">
        <f t="shared" si="1"/>
        <v>0</v>
      </c>
    </row>
    <row r="12" spans="1:23" ht="14.25">
      <c r="A12" s="413">
        <v>8</v>
      </c>
      <c r="B12" s="497" t="s">
        <v>1424</v>
      </c>
      <c r="C12" s="498">
        <v>5.8213337495775334E-2</v>
      </c>
      <c r="D12" s="506">
        <f>(5.52)/80.88</f>
        <v>6.8249258160237386E-2</v>
      </c>
      <c r="E12" s="499"/>
      <c r="F12" s="500"/>
      <c r="G12" s="500">
        <f>($D12/2*$F$38)</f>
        <v>9.213649851632047E-3</v>
      </c>
      <c r="H12" s="500">
        <f>($D12/2*$F$38)</f>
        <v>9.213649851632047E-3</v>
      </c>
      <c r="I12" s="500" t="s">
        <v>1082</v>
      </c>
      <c r="J12" s="500"/>
      <c r="K12" s="501"/>
      <c r="L12" s="499"/>
      <c r="M12" s="500"/>
      <c r="N12" s="500">
        <f>($D12/4*$G$38)</f>
        <v>1.0237388724035608E-2</v>
      </c>
      <c r="O12" s="500">
        <f>($D12/4*$G$38)</f>
        <v>1.0237388724035608E-2</v>
      </c>
      <c r="P12" s="501">
        <f>($D12/4*$G$38)</f>
        <v>1.0237388724035608E-2</v>
      </c>
      <c r="Q12" s="499">
        <f>($D12/4*$G$38)</f>
        <v>1.0237388724035608E-2</v>
      </c>
      <c r="R12" s="500">
        <f>($D12/2*$E$38)</f>
        <v>4.4362017804154301E-3</v>
      </c>
      <c r="S12" s="500">
        <f>($D12/2*$E$38)</f>
        <v>4.4362017804154301E-3</v>
      </c>
      <c r="T12" s="500"/>
      <c r="U12" s="500"/>
      <c r="V12" s="501"/>
      <c r="W12" s="507">
        <f t="shared" si="1"/>
        <v>0</v>
      </c>
    </row>
    <row r="13" spans="1:23" ht="14.25">
      <c r="A13" s="413">
        <v>9</v>
      </c>
      <c r="B13" s="409" t="s">
        <v>1426</v>
      </c>
      <c r="C13" s="416">
        <v>4.6932839062554028E-2</v>
      </c>
      <c r="D13" s="420">
        <f>(8.65+7.41+1.75+0.95)/80.88</f>
        <v>0.23194856577645898</v>
      </c>
      <c r="E13" s="476"/>
      <c r="F13" s="477"/>
      <c r="G13" s="477"/>
      <c r="H13" s="477">
        <f>($D13/2*$F$38)</f>
        <v>3.1313056379821964E-2</v>
      </c>
      <c r="I13" s="477">
        <f>($D13/2*$F$38)</f>
        <v>3.1313056379821964E-2</v>
      </c>
      <c r="J13" s="477" t="s">
        <v>1082</v>
      </c>
      <c r="K13" s="478"/>
      <c r="L13" s="476"/>
      <c r="M13" s="477"/>
      <c r="N13" s="477"/>
      <c r="O13" s="477">
        <f>($D13/4*$G$38)</f>
        <v>3.4792284866468848E-2</v>
      </c>
      <c r="P13" s="478">
        <f>($D13/4*$G$38)</f>
        <v>3.4792284866468848E-2</v>
      </c>
      <c r="Q13" s="476">
        <f>($D13/4*$G$38)</f>
        <v>3.4792284866468848E-2</v>
      </c>
      <c r="R13" s="477">
        <f>($D13/4*$G$38)</f>
        <v>3.4792284866468848E-2</v>
      </c>
      <c r="S13" s="477">
        <f>($D13/2*$E$38)</f>
        <v>1.5076656775469833E-2</v>
      </c>
      <c r="T13" s="477">
        <f>($D13/2*$E$38)</f>
        <v>1.5076656775469833E-2</v>
      </c>
      <c r="U13" s="477"/>
      <c r="V13" s="478"/>
      <c r="W13" s="507">
        <f t="shared" si="1"/>
        <v>0</v>
      </c>
    </row>
    <row r="14" spans="1:23" ht="14.25">
      <c r="A14" s="413">
        <v>10</v>
      </c>
      <c r="B14" s="409" t="s">
        <v>1431</v>
      </c>
      <c r="C14" s="416">
        <v>2.1657260058306399E-2</v>
      </c>
      <c r="D14" s="420">
        <f>(0.89+0.1)/80.88</f>
        <v>1.2240356083086055E-2</v>
      </c>
      <c r="E14" s="476"/>
      <c r="F14" s="477"/>
      <c r="G14" s="477"/>
      <c r="H14" s="477">
        <f>($D14/2*$F$38)</f>
        <v>1.6524480712166174E-3</v>
      </c>
      <c r="I14" s="477">
        <f>($D14/2*$F$38)</f>
        <v>1.6524480712166174E-3</v>
      </c>
      <c r="J14" s="477"/>
      <c r="K14" s="478"/>
      <c r="L14" s="476"/>
      <c r="M14" s="477"/>
      <c r="N14" s="477"/>
      <c r="O14" s="477"/>
      <c r="P14" s="478" t="s">
        <v>1082</v>
      </c>
      <c r="Q14" s="476">
        <f>($D14/4*$G$38)</f>
        <v>1.836053412462908E-3</v>
      </c>
      <c r="R14" s="477">
        <f>($D14/4*$G$38)</f>
        <v>1.836053412462908E-3</v>
      </c>
      <c r="S14" s="477">
        <f>($D14/4*$G$38)</f>
        <v>1.836053412462908E-3</v>
      </c>
      <c r="T14" s="477">
        <f>($D14/4*$G$38)+($D14/2*$E$38)</f>
        <v>2.6316765578635014E-3</v>
      </c>
      <c r="U14" s="477">
        <f>($D14/2*$E$38)</f>
        <v>7.9562314540059355E-4</v>
      </c>
      <c r="V14" s="478"/>
      <c r="W14" s="507">
        <f t="shared" si="1"/>
        <v>0</v>
      </c>
    </row>
    <row r="15" spans="1:23" ht="14.25">
      <c r="A15" s="413">
        <v>11</v>
      </c>
      <c r="B15" s="497" t="s">
        <v>1432</v>
      </c>
      <c r="C15" s="498">
        <v>3.6686744661607963E-2</v>
      </c>
      <c r="D15" s="506">
        <f>0.87/80.88</f>
        <v>1.0756676557863502E-2</v>
      </c>
      <c r="E15" s="499"/>
      <c r="F15" s="500"/>
      <c r="G15" s="500"/>
      <c r="H15" s="500"/>
      <c r="I15" s="500">
        <f>($D15/2*$F$38)</f>
        <v>1.4521513353115728E-3</v>
      </c>
      <c r="J15" s="500">
        <f>($D15/2*$F$38)</f>
        <v>1.4521513353115728E-3</v>
      </c>
      <c r="K15" s="501"/>
      <c r="L15" s="499"/>
      <c r="M15" s="500"/>
      <c r="N15" s="500"/>
      <c r="O15" s="500"/>
      <c r="P15" s="501"/>
      <c r="Q15" s="499"/>
      <c r="R15" s="500">
        <f>($D15/4*$G$38)</f>
        <v>1.6135014836795253E-3</v>
      </c>
      <c r="S15" s="500">
        <f>($D15/4*$G$38)</f>
        <v>1.6135014836795253E-3</v>
      </c>
      <c r="T15" s="500">
        <f>($D15/4*$G$38)</f>
        <v>1.6135014836795253E-3</v>
      </c>
      <c r="U15" s="500">
        <f>($D15/4*$G$38)+($D15/2*$E$38)</f>
        <v>2.3126854599406529E-3</v>
      </c>
      <c r="V15" s="501">
        <f>($D15/2*$E$38)</f>
        <v>6.9918397626112763E-4</v>
      </c>
      <c r="W15" s="507">
        <f t="shared" si="1"/>
        <v>0</v>
      </c>
    </row>
    <row r="16" spans="1:23" ht="14.25">
      <c r="A16" s="413">
        <v>12</v>
      </c>
      <c r="B16" s="409" t="s">
        <v>1425</v>
      </c>
      <c r="C16" s="416">
        <v>9.8579490277111589E-2</v>
      </c>
      <c r="D16" s="420">
        <f>(1.88+0.18+0.72+1.19+0.24)/80.88</f>
        <v>5.2052423343224533E-2</v>
      </c>
      <c r="E16" s="476"/>
      <c r="F16" s="477"/>
      <c r="G16" s="477"/>
      <c r="H16" s="477"/>
      <c r="I16" s="477"/>
      <c r="J16" s="477">
        <f t="shared" ref="J16:K20" si="2">($D16/2*$F$38)</f>
        <v>7.027077151335312E-3</v>
      </c>
      <c r="K16" s="478">
        <f t="shared" si="2"/>
        <v>7.027077151335312E-3</v>
      </c>
      <c r="L16" s="476"/>
      <c r="M16" s="477"/>
      <c r="N16" s="477"/>
      <c r="O16" s="477"/>
      <c r="P16" s="478"/>
      <c r="Q16" s="476"/>
      <c r="R16" s="477"/>
      <c r="S16" s="477"/>
      <c r="T16" s="477">
        <f>($D16/3*$G$38)</f>
        <v>1.0410484668644906E-2</v>
      </c>
      <c r="U16" s="477">
        <f t="shared" ref="U16:V20" si="3">($D16/3*$G$38)+($D16/2*$E$38)</f>
        <v>1.37938921859545E-2</v>
      </c>
      <c r="V16" s="478">
        <f t="shared" si="3"/>
        <v>1.37938921859545E-2</v>
      </c>
      <c r="W16" s="507">
        <f t="shared" si="1"/>
        <v>0</v>
      </c>
    </row>
    <row r="17" spans="1:23" ht="14.25">
      <c r="A17" s="413">
        <v>13</v>
      </c>
      <c r="B17" s="409" t="s">
        <v>1382</v>
      </c>
      <c r="C17" s="416">
        <v>6.8558919173223234E-3</v>
      </c>
      <c r="D17" s="420">
        <f>(0.33+0.16+0.29)/80.88</f>
        <v>9.6439169139465892E-3</v>
      </c>
      <c r="E17" s="476"/>
      <c r="F17" s="477"/>
      <c r="G17" s="477"/>
      <c r="H17" s="477"/>
      <c r="I17" s="477"/>
      <c r="J17" s="477">
        <f t="shared" si="2"/>
        <v>1.3019287833827896E-3</v>
      </c>
      <c r="K17" s="478">
        <f t="shared" si="2"/>
        <v>1.3019287833827896E-3</v>
      </c>
      <c r="L17" s="476"/>
      <c r="M17" s="477"/>
      <c r="N17" s="477"/>
      <c r="O17" s="477"/>
      <c r="P17" s="478"/>
      <c r="Q17" s="476"/>
      <c r="R17" s="477"/>
      <c r="S17" s="477"/>
      <c r="T17" s="477">
        <f>($D17/3*$G$38)</f>
        <v>1.9287833827893179E-3</v>
      </c>
      <c r="U17" s="477">
        <f t="shared" si="3"/>
        <v>2.5556379821958463E-3</v>
      </c>
      <c r="V17" s="478">
        <f t="shared" si="3"/>
        <v>2.5556379821958463E-3</v>
      </c>
      <c r="W17" s="507">
        <f t="shared" si="1"/>
        <v>0</v>
      </c>
    </row>
    <row r="18" spans="1:23" ht="14.25" hidden="1">
      <c r="A18" s="413">
        <v>14</v>
      </c>
      <c r="B18" s="497" t="s">
        <v>1082</v>
      </c>
      <c r="C18" s="498">
        <v>1.9995044559865936E-3</v>
      </c>
      <c r="D18" s="506">
        <v>0</v>
      </c>
      <c r="E18" s="499"/>
      <c r="F18" s="500"/>
      <c r="G18" s="500"/>
      <c r="H18" s="500"/>
      <c r="I18" s="500"/>
      <c r="J18" s="500">
        <f t="shared" si="2"/>
        <v>0</v>
      </c>
      <c r="K18" s="501">
        <f t="shared" si="2"/>
        <v>0</v>
      </c>
      <c r="L18" s="499"/>
      <c r="M18" s="500"/>
      <c r="N18" s="500"/>
      <c r="O18" s="500"/>
      <c r="P18" s="501"/>
      <c r="Q18" s="499"/>
      <c r="R18" s="500"/>
      <c r="S18" s="500"/>
      <c r="T18" s="500">
        <f>($D18/3*$G$38)</f>
        <v>0</v>
      </c>
      <c r="U18" s="500">
        <f t="shared" si="3"/>
        <v>0</v>
      </c>
      <c r="V18" s="501">
        <f t="shared" si="3"/>
        <v>0</v>
      </c>
      <c r="W18" s="507">
        <f t="shared" si="1"/>
        <v>0</v>
      </c>
    </row>
    <row r="19" spans="1:23" ht="14.25" hidden="1">
      <c r="A19" s="413">
        <v>15</v>
      </c>
      <c r="B19" s="409" t="s">
        <v>1082</v>
      </c>
      <c r="C19" s="416">
        <v>4.5870984578515973E-3</v>
      </c>
      <c r="D19" s="420">
        <v>0</v>
      </c>
      <c r="E19" s="476"/>
      <c r="F19" s="477"/>
      <c r="G19" s="477"/>
      <c r="H19" s="477"/>
      <c r="I19" s="477"/>
      <c r="J19" s="477">
        <f t="shared" si="2"/>
        <v>0</v>
      </c>
      <c r="K19" s="478">
        <f t="shared" si="2"/>
        <v>0</v>
      </c>
      <c r="L19" s="476"/>
      <c r="M19" s="477"/>
      <c r="N19" s="477"/>
      <c r="O19" s="477"/>
      <c r="P19" s="478"/>
      <c r="Q19" s="476"/>
      <c r="R19" s="477"/>
      <c r="S19" s="477"/>
      <c r="T19" s="477">
        <f>($D19/3*$G$38)</f>
        <v>0</v>
      </c>
      <c r="U19" s="477">
        <f t="shared" si="3"/>
        <v>0</v>
      </c>
      <c r="V19" s="478">
        <f t="shared" si="3"/>
        <v>0</v>
      </c>
      <c r="W19" s="507">
        <f t="shared" si="1"/>
        <v>0</v>
      </c>
    </row>
    <row r="20" spans="1:23" ht="14.25" hidden="1">
      <c r="A20" s="413">
        <v>16</v>
      </c>
      <c r="B20" s="409" t="s">
        <v>1082</v>
      </c>
      <c r="C20" s="416">
        <v>5.4876987884097943E-2</v>
      </c>
      <c r="D20" s="420">
        <v>0</v>
      </c>
      <c r="E20" s="476"/>
      <c r="F20" s="477"/>
      <c r="G20" s="477"/>
      <c r="H20" s="477"/>
      <c r="I20" s="477"/>
      <c r="J20" s="477">
        <f t="shared" si="2"/>
        <v>0</v>
      </c>
      <c r="K20" s="478">
        <f t="shared" si="2"/>
        <v>0</v>
      </c>
      <c r="L20" s="476"/>
      <c r="M20" s="477"/>
      <c r="N20" s="477"/>
      <c r="O20" s="477"/>
      <c r="P20" s="478"/>
      <c r="Q20" s="476"/>
      <c r="R20" s="477"/>
      <c r="S20" s="477"/>
      <c r="T20" s="477">
        <f>($D20/3*$G$38)</f>
        <v>0</v>
      </c>
      <c r="U20" s="477">
        <f t="shared" si="3"/>
        <v>0</v>
      </c>
      <c r="V20" s="478">
        <f t="shared" si="3"/>
        <v>0</v>
      </c>
      <c r="W20" s="507">
        <f t="shared" si="1"/>
        <v>0</v>
      </c>
    </row>
    <row r="21" spans="1:23" ht="14.25">
      <c r="A21" s="413">
        <v>17</v>
      </c>
      <c r="B21" s="497" t="s">
        <v>1427</v>
      </c>
      <c r="C21" s="498">
        <v>9.3686898903161037E-2</v>
      </c>
      <c r="D21" s="506">
        <f>7.37/80.88</f>
        <v>9.1122650840751732E-2</v>
      </c>
      <c r="E21" s="499"/>
      <c r="F21" s="500"/>
      <c r="G21" s="500"/>
      <c r="H21" s="500">
        <f t="shared" ref="H21:K22" si="4">($D21/4*$F$38)</f>
        <v>6.1507789317507425E-3</v>
      </c>
      <c r="I21" s="500">
        <f t="shared" si="4"/>
        <v>6.1507789317507425E-3</v>
      </c>
      <c r="J21" s="500">
        <f t="shared" si="4"/>
        <v>6.1507789317507425E-3</v>
      </c>
      <c r="K21" s="501">
        <f t="shared" si="4"/>
        <v>6.1507789317507425E-3</v>
      </c>
      <c r="L21" s="499"/>
      <c r="M21" s="500"/>
      <c r="N21" s="500"/>
      <c r="O21" s="500"/>
      <c r="P21" s="501"/>
      <c r="Q21" s="499">
        <f t="shared" ref="Q21:S22" si="5">($D21/4*$G$38)</f>
        <v>1.3668397626112759E-2</v>
      </c>
      <c r="R21" s="500">
        <f t="shared" si="5"/>
        <v>1.3668397626112759E-2</v>
      </c>
      <c r="S21" s="500">
        <f t="shared" si="5"/>
        <v>1.3668397626112759E-2</v>
      </c>
      <c r="T21" s="500">
        <f>($D21/4*$G$38)+($D21/3*$E$38)</f>
        <v>1.7617045829212002E-2</v>
      </c>
      <c r="U21" s="500">
        <f>($D21/3*$E$38)</f>
        <v>3.9486482030992422E-3</v>
      </c>
      <c r="V21" s="501">
        <f>($D21/3*$E$38)</f>
        <v>3.9486482030992422E-3</v>
      </c>
      <c r="W21" s="507">
        <f t="shared" si="1"/>
        <v>0</v>
      </c>
    </row>
    <row r="22" spans="1:23" ht="14.25">
      <c r="A22" s="413">
        <v>18</v>
      </c>
      <c r="B22" s="409" t="s">
        <v>1428</v>
      </c>
      <c r="C22" s="416">
        <v>1.9446160983712754E-2</v>
      </c>
      <c r="D22" s="420">
        <f>(2.29+0.81)/80.88</f>
        <v>3.8328387734915925E-2</v>
      </c>
      <c r="E22" s="476"/>
      <c r="F22" s="477"/>
      <c r="G22" s="477"/>
      <c r="H22" s="477">
        <f t="shared" si="4"/>
        <v>2.587166172106825E-3</v>
      </c>
      <c r="I22" s="477">
        <f t="shared" si="4"/>
        <v>2.587166172106825E-3</v>
      </c>
      <c r="J22" s="477">
        <f t="shared" si="4"/>
        <v>2.587166172106825E-3</v>
      </c>
      <c r="K22" s="478">
        <f t="shared" si="4"/>
        <v>2.587166172106825E-3</v>
      </c>
      <c r="L22" s="476"/>
      <c r="M22" s="477"/>
      <c r="N22" s="477"/>
      <c r="O22" s="477"/>
      <c r="P22" s="478"/>
      <c r="Q22" s="476">
        <f t="shared" si="5"/>
        <v>5.7492581602373886E-3</v>
      </c>
      <c r="R22" s="477">
        <f t="shared" si="5"/>
        <v>5.7492581602373886E-3</v>
      </c>
      <c r="S22" s="477">
        <f t="shared" si="5"/>
        <v>5.7492581602373886E-3</v>
      </c>
      <c r="T22" s="477">
        <f>($D22/4*$G$38)+($D22/3*$E$38)</f>
        <v>7.4101549620837455E-3</v>
      </c>
      <c r="U22" s="477">
        <f>($D22/3*$E$38)</f>
        <v>1.6608968018463569E-3</v>
      </c>
      <c r="V22" s="478">
        <f>($D22/3*$E$38)</f>
        <v>1.6608968018463569E-3</v>
      </c>
      <c r="W22" s="507">
        <f t="shared" si="1"/>
        <v>0</v>
      </c>
    </row>
    <row r="23" spans="1:23" ht="14.25">
      <c r="A23" s="413">
        <v>19</v>
      </c>
      <c r="B23" s="409" t="s">
        <v>1385</v>
      </c>
      <c r="C23" s="416">
        <v>3.7611572713217557E-2</v>
      </c>
      <c r="D23" s="420">
        <f>3.34/80.88</f>
        <v>4.1295746785361027E-2</v>
      </c>
      <c r="E23" s="476"/>
      <c r="F23" s="477"/>
      <c r="G23" s="477"/>
      <c r="H23" s="477"/>
      <c r="I23" s="477"/>
      <c r="J23" s="477"/>
      <c r="K23" s="478">
        <f>($D23*$F$38)</f>
        <v>1.1149851632047477E-2</v>
      </c>
      <c r="L23" s="476"/>
      <c r="M23" s="477"/>
      <c r="N23" s="477"/>
      <c r="O23" s="477"/>
      <c r="P23" s="478"/>
      <c r="Q23" s="476"/>
      <c r="R23" s="477"/>
      <c r="S23" s="477"/>
      <c r="T23" s="477"/>
      <c r="U23" s="477">
        <f>($D23*$G$38)/2+($D23*$E$38)/2</f>
        <v>1.5072947576656774E-2</v>
      </c>
      <c r="V23" s="478">
        <f>($D23*$G$38)/2+($D23*$E$38)/2</f>
        <v>1.5072947576656774E-2</v>
      </c>
      <c r="W23" s="507">
        <f t="shared" si="1"/>
        <v>0</v>
      </c>
    </row>
    <row r="24" spans="1:23" ht="14.25" hidden="1">
      <c r="A24" s="413">
        <v>20</v>
      </c>
      <c r="B24" s="497" t="s">
        <v>1082</v>
      </c>
      <c r="C24" s="498">
        <v>6.3631288864043956E-2</v>
      </c>
      <c r="D24" s="506">
        <v>0</v>
      </c>
      <c r="E24" s="499"/>
      <c r="F24" s="500"/>
      <c r="G24" s="500"/>
      <c r="H24" s="500"/>
      <c r="I24" s="500"/>
      <c r="J24" s="500">
        <f>($D24/2*$F$38)</f>
        <v>0</v>
      </c>
      <c r="K24" s="501">
        <f>($D24/2*$F$38)</f>
        <v>0</v>
      </c>
      <c r="L24" s="499"/>
      <c r="M24" s="500"/>
      <c r="N24" s="500"/>
      <c r="O24" s="500"/>
      <c r="P24" s="501"/>
      <c r="Q24" s="499"/>
      <c r="R24" s="500"/>
      <c r="S24" s="500"/>
      <c r="T24" s="500">
        <f>($D24/3*$G$38)</f>
        <v>0</v>
      </c>
      <c r="U24" s="500">
        <f>($D24/3*$G$38)+D24*E38/2</f>
        <v>0</v>
      </c>
      <c r="V24" s="501">
        <f>($D24/3*$G$38)+D24*E38/2</f>
        <v>0</v>
      </c>
      <c r="W24" s="507">
        <f t="shared" si="1"/>
        <v>0</v>
      </c>
    </row>
    <row r="25" spans="1:23" ht="14.25">
      <c r="A25" s="413">
        <v>21</v>
      </c>
      <c r="B25" s="409" t="s">
        <v>1386</v>
      </c>
      <c r="C25" s="416">
        <v>3.3873957842596412E-3</v>
      </c>
      <c r="D25" s="420">
        <f>0.81/80.88</f>
        <v>1.0014836795252226E-2</v>
      </c>
      <c r="E25" s="476"/>
      <c r="F25" s="477"/>
      <c r="G25" s="477"/>
      <c r="H25" s="477"/>
      <c r="I25" s="477"/>
      <c r="J25" s="477"/>
      <c r="K25" s="478">
        <f>($D25*$F$38)</f>
        <v>2.7040059347181013E-3</v>
      </c>
      <c r="L25" s="476"/>
      <c r="M25" s="477"/>
      <c r="N25" s="477"/>
      <c r="O25" s="477"/>
      <c r="P25" s="478"/>
      <c r="Q25" s="476"/>
      <c r="R25" s="477"/>
      <c r="S25" s="477"/>
      <c r="T25" s="477"/>
      <c r="U25" s="477"/>
      <c r="V25" s="478">
        <f>($D25*$G$38)+D25*E38</f>
        <v>7.3108308605341248E-3</v>
      </c>
      <c r="W25" s="507">
        <f t="shared" si="1"/>
        <v>0</v>
      </c>
    </row>
    <row r="26" spans="1:23" ht="19.5" customHeight="1">
      <c r="B26" s="504">
        <v>6998268.0683399988</v>
      </c>
      <c r="C26" s="502"/>
      <c r="D26" s="503">
        <f>SUM(D5:D25)</f>
        <v>1.0000000000000002</v>
      </c>
      <c r="E26" s="468" t="s">
        <v>1400</v>
      </c>
      <c r="F26" s="435" t="s">
        <v>1401</v>
      </c>
      <c r="G26" s="435" t="s">
        <v>1402</v>
      </c>
      <c r="H26" s="435" t="s">
        <v>1403</v>
      </c>
      <c r="I26" s="435" t="s">
        <v>1404</v>
      </c>
      <c r="J26" s="435" t="s">
        <v>1405</v>
      </c>
      <c r="K26" s="462" t="s">
        <v>1406</v>
      </c>
      <c r="L26" s="451" t="s">
        <v>1407</v>
      </c>
      <c r="M26" s="435" t="s">
        <v>1408</v>
      </c>
      <c r="N26" s="435" t="s">
        <v>1409</v>
      </c>
      <c r="O26" s="435" t="s">
        <v>1410</v>
      </c>
      <c r="P26" s="462" t="s">
        <v>1411</v>
      </c>
      <c r="Q26" s="451" t="s">
        <v>1412</v>
      </c>
      <c r="R26" s="435" t="s">
        <v>1413</v>
      </c>
      <c r="S26" s="435" t="s">
        <v>1414</v>
      </c>
      <c r="T26" s="435" t="s">
        <v>1415</v>
      </c>
      <c r="U26" s="435" t="s">
        <v>1416</v>
      </c>
      <c r="V26" s="462" t="s">
        <v>1417</v>
      </c>
    </row>
    <row r="27" spans="1:23" ht="30" customHeight="1">
      <c r="B27" s="448"/>
      <c r="C27" s="422"/>
      <c r="D27" s="449" t="s">
        <v>1082</v>
      </c>
      <c r="E27" s="591" t="s">
        <v>1433</v>
      </c>
      <c r="F27" s="592"/>
      <c r="G27" s="592"/>
      <c r="H27" s="592"/>
      <c r="I27" s="592"/>
      <c r="J27" s="592"/>
      <c r="K27" s="593"/>
      <c r="L27" s="582" t="s">
        <v>1434</v>
      </c>
      <c r="M27" s="583"/>
      <c r="N27" s="583"/>
      <c r="O27" s="583"/>
      <c r="P27" s="584"/>
      <c r="Q27" s="582" t="s">
        <v>1435</v>
      </c>
      <c r="R27" s="583"/>
      <c r="S27" s="583"/>
      <c r="T27" s="583"/>
      <c r="U27" s="583"/>
      <c r="V27" s="584"/>
    </row>
    <row r="28" spans="1:23" ht="28.5" customHeight="1">
      <c r="B28" s="448"/>
      <c r="C28" s="422"/>
      <c r="D28" s="449" t="s">
        <v>1082</v>
      </c>
      <c r="E28" s="468" t="s">
        <v>1400</v>
      </c>
      <c r="F28" s="435" t="s">
        <v>1401</v>
      </c>
      <c r="G28" s="435" t="s">
        <v>1402</v>
      </c>
      <c r="H28" s="435" t="s">
        <v>1403</v>
      </c>
      <c r="I28" s="435" t="s">
        <v>1404</v>
      </c>
      <c r="J28" s="435" t="s">
        <v>1405</v>
      </c>
      <c r="K28" s="462" t="s">
        <v>1406</v>
      </c>
      <c r="L28" s="451" t="s">
        <v>1407</v>
      </c>
      <c r="M28" s="435" t="s">
        <v>1408</v>
      </c>
      <c r="N28" s="435" t="s">
        <v>1409</v>
      </c>
      <c r="O28" s="435" t="s">
        <v>1410</v>
      </c>
      <c r="P28" s="462" t="s">
        <v>1411</v>
      </c>
      <c r="Q28" s="451" t="s">
        <v>1412</v>
      </c>
      <c r="R28" s="435" t="s">
        <v>1413</v>
      </c>
      <c r="S28" s="435" t="s">
        <v>1414</v>
      </c>
      <c r="T28" s="435" t="s">
        <v>1415</v>
      </c>
      <c r="U28" s="435" t="s">
        <v>1416</v>
      </c>
      <c r="V28" s="462" t="s">
        <v>1417</v>
      </c>
    </row>
    <row r="29" spans="1:23" ht="24" customHeight="1">
      <c r="B29" s="448"/>
      <c r="C29" s="422"/>
      <c r="D29" s="449" t="s">
        <v>1082</v>
      </c>
      <c r="E29" s="441">
        <f>SUM(E5:E25)</f>
        <v>2.3394136718320697E-2</v>
      </c>
      <c r="F29" s="442">
        <f t="shared" ref="F29:U29" si="6">SUM(F5:F25)</f>
        <v>3.9976357292010115E-2</v>
      </c>
      <c r="G29" s="442">
        <f t="shared" si="6"/>
        <v>3.8414042751950761E-2</v>
      </c>
      <c r="H29" s="442">
        <f t="shared" si="6"/>
        <v>7.3357477470051669E-2</v>
      </c>
      <c r="I29" s="442">
        <f t="shared" si="6"/>
        <v>4.7702803879547208E-2</v>
      </c>
      <c r="J29" s="442">
        <f t="shared" si="6"/>
        <v>2.3066305363226729E-2</v>
      </c>
      <c r="K29" s="457">
        <f t="shared" si="6"/>
        <v>6.0564450763820207E-2</v>
      </c>
      <c r="L29" s="441">
        <f t="shared" si="6"/>
        <v>2.849379052643148E-2</v>
      </c>
      <c r="M29" s="442">
        <f t="shared" si="6"/>
        <v>4.3912929992306851E-2</v>
      </c>
      <c r="N29" s="442">
        <f t="shared" si="6"/>
        <v>4.217702494779646E-2</v>
      </c>
      <c r="O29" s="442">
        <f t="shared" si="6"/>
        <v>7.6969309814265308E-2</v>
      </c>
      <c r="P29" s="443">
        <f t="shared" si="6"/>
        <v>0.10325120892405759</v>
      </c>
      <c r="Q29" s="441">
        <f t="shared" si="6"/>
        <v>0.10915242059566985</v>
      </c>
      <c r="R29" s="442">
        <f t="shared" si="6"/>
        <v>7.8512954720298941E-2</v>
      </c>
      <c r="S29" s="442">
        <f t="shared" si="6"/>
        <v>5.5542504670842943E-2</v>
      </c>
      <c r="T29" s="442">
        <f t="shared" si="6"/>
        <v>6.1235506649082325E-2</v>
      </c>
      <c r="U29" s="442">
        <f t="shared" si="6"/>
        <v>4.4687534344433455E-2</v>
      </c>
      <c r="V29" s="443">
        <f>SUM(V5:V25)</f>
        <v>4.9589240575887462E-2</v>
      </c>
    </row>
    <row r="30" spans="1:23" ht="6" customHeight="1">
      <c r="B30" s="448"/>
      <c r="C30" s="422"/>
      <c r="D30" s="449" t="s">
        <v>1082</v>
      </c>
      <c r="E30" s="453"/>
      <c r="F30" s="458"/>
      <c r="G30" s="458"/>
      <c r="H30" s="458"/>
      <c r="I30" s="458"/>
      <c r="J30" s="458"/>
      <c r="K30" s="459"/>
      <c r="L30" s="453"/>
      <c r="M30" s="458"/>
      <c r="N30" s="458"/>
      <c r="O30" s="458"/>
      <c r="P30" s="464"/>
      <c r="Q30" s="453"/>
      <c r="R30" s="458"/>
      <c r="S30" s="458"/>
      <c r="T30" s="458"/>
      <c r="U30" s="458"/>
      <c r="V30" s="464"/>
    </row>
    <row r="31" spans="1:23" ht="123.75" customHeight="1">
      <c r="B31" s="413" t="s">
        <v>1082</v>
      </c>
      <c r="E31" s="444">
        <f>E29*$B26</f>
        <v>163718.43998220403</v>
      </c>
      <c r="F31" s="445">
        <f t="shared" ref="F31:U31" si="7">F29*$B26</f>
        <v>279765.26472522528</v>
      </c>
      <c r="G31" s="445">
        <f t="shared" si="7"/>
        <v>268831.76876682456</v>
      </c>
      <c r="H31" s="445">
        <f t="shared" si="7"/>
        <v>513375.29215263348</v>
      </c>
      <c r="I31" s="445">
        <f t="shared" si="7"/>
        <v>333837.00916052063</v>
      </c>
      <c r="J31" s="445">
        <f t="shared" si="7"/>
        <v>161424.18827804926</v>
      </c>
      <c r="K31" s="460">
        <f t="shared" si="7"/>
        <v>423846.26185699302</v>
      </c>
      <c r="L31" s="454">
        <f t="shared" si="7"/>
        <v>199407.1843870942</v>
      </c>
      <c r="M31" s="445">
        <f t="shared" si="7"/>
        <v>307314.45575241087</v>
      </c>
      <c r="N31" s="445">
        <f t="shared" si="7"/>
        <v>295166.12690974347</v>
      </c>
      <c r="O31" s="445">
        <f t="shared" si="7"/>
        <v>538651.8631153414</v>
      </c>
      <c r="P31" s="465">
        <f t="shared" si="7"/>
        <v>722579.63843073417</v>
      </c>
      <c r="Q31" s="454">
        <f t="shared" si="7"/>
        <v>763877.89963669353</v>
      </c>
      <c r="R31" s="445">
        <f t="shared" si="7"/>
        <v>549454.70397009223</v>
      </c>
      <c r="S31" s="445">
        <f t="shared" si="7"/>
        <v>388701.33687358542</v>
      </c>
      <c r="T31" s="445">
        <f t="shared" si="7"/>
        <v>428542.4908308945</v>
      </c>
      <c r="U31" s="445">
        <f t="shared" si="7"/>
        <v>312735.34465549566</v>
      </c>
      <c r="V31" s="466">
        <f>V29*$B26</f>
        <v>347038.79885546345</v>
      </c>
    </row>
    <row r="32" spans="1:23" ht="24" customHeight="1">
      <c r="E32" s="441">
        <f>E29</f>
        <v>2.3394136718320697E-2</v>
      </c>
      <c r="F32" s="442">
        <f t="shared" ref="F32:V32" si="8">F29+E32</f>
        <v>6.3370494010330819E-2</v>
      </c>
      <c r="G32" s="442">
        <f t="shared" si="8"/>
        <v>0.10178453676228158</v>
      </c>
      <c r="H32" s="442">
        <f t="shared" si="8"/>
        <v>0.17514201423233325</v>
      </c>
      <c r="I32" s="442">
        <f t="shared" si="8"/>
        <v>0.22284481811188045</v>
      </c>
      <c r="J32" s="442">
        <f t="shared" si="8"/>
        <v>0.24591112347510719</v>
      </c>
      <c r="K32" s="473">
        <f t="shared" si="8"/>
        <v>0.30647557423892741</v>
      </c>
      <c r="L32" s="471">
        <f t="shared" si="8"/>
        <v>0.33496936476535888</v>
      </c>
      <c r="M32" s="472">
        <f t="shared" si="8"/>
        <v>0.37888229475766572</v>
      </c>
      <c r="N32" s="472">
        <f t="shared" si="8"/>
        <v>0.42105931970546218</v>
      </c>
      <c r="O32" s="472">
        <f t="shared" si="8"/>
        <v>0.49802862951972748</v>
      </c>
      <c r="P32" s="474">
        <f t="shared" si="8"/>
        <v>0.60127983844378508</v>
      </c>
      <c r="Q32" s="471">
        <f t="shared" si="8"/>
        <v>0.71043225903945495</v>
      </c>
      <c r="R32" s="472">
        <f t="shared" si="8"/>
        <v>0.7889452137597539</v>
      </c>
      <c r="S32" s="472">
        <f t="shared" si="8"/>
        <v>0.84448771843059689</v>
      </c>
      <c r="T32" s="472">
        <f t="shared" si="8"/>
        <v>0.90572322507967917</v>
      </c>
      <c r="U32" s="472">
        <f t="shared" si="8"/>
        <v>0.95041075942411268</v>
      </c>
      <c r="V32" s="474">
        <f t="shared" si="8"/>
        <v>1.0000000000000002</v>
      </c>
    </row>
    <row r="33" spans="2:22" ht="178.5" customHeight="1">
      <c r="E33" s="444">
        <f>E31</f>
        <v>163718.43998220403</v>
      </c>
      <c r="F33" s="445">
        <f>F31+E33</f>
        <v>443483.70470742928</v>
      </c>
      <c r="G33" s="445">
        <f t="shared" ref="G33:V33" si="9">G31+F33</f>
        <v>712315.4734742539</v>
      </c>
      <c r="H33" s="445">
        <f t="shared" si="9"/>
        <v>1225690.7656268873</v>
      </c>
      <c r="I33" s="445">
        <f t="shared" si="9"/>
        <v>1559527.7747874078</v>
      </c>
      <c r="J33" s="445">
        <f t="shared" si="9"/>
        <v>1720951.9630654571</v>
      </c>
      <c r="K33" s="461">
        <f t="shared" si="9"/>
        <v>2144798.2249224503</v>
      </c>
      <c r="L33" s="454">
        <f t="shared" si="9"/>
        <v>2344205.4093095446</v>
      </c>
      <c r="M33" s="445">
        <f t="shared" si="9"/>
        <v>2651519.8650619555</v>
      </c>
      <c r="N33" s="445">
        <f t="shared" si="9"/>
        <v>2946685.9919716991</v>
      </c>
      <c r="O33" s="445">
        <f t="shared" si="9"/>
        <v>3485337.8550870405</v>
      </c>
      <c r="P33" s="490">
        <f t="shared" si="9"/>
        <v>4207917.4935177751</v>
      </c>
      <c r="Q33" s="454">
        <f t="shared" si="9"/>
        <v>4971795.3931544684</v>
      </c>
      <c r="R33" s="445">
        <f t="shared" si="9"/>
        <v>5521250.0971245607</v>
      </c>
      <c r="S33" s="445">
        <f t="shared" si="9"/>
        <v>5909951.4339981461</v>
      </c>
      <c r="T33" s="445">
        <f t="shared" si="9"/>
        <v>6338493.9248290407</v>
      </c>
      <c r="U33" s="445">
        <f t="shared" si="9"/>
        <v>6651229.2694845367</v>
      </c>
      <c r="V33" s="505">
        <f t="shared" si="9"/>
        <v>6998268.0683399998</v>
      </c>
    </row>
    <row r="35" spans="2:22" hidden="1">
      <c r="V35" s="411">
        <v>0.01</v>
      </c>
    </row>
    <row r="36" spans="2:22" hidden="1">
      <c r="E36" s="413" t="s">
        <v>1082</v>
      </c>
      <c r="F36" s="413" t="s">
        <v>1082</v>
      </c>
      <c r="G36" s="413" t="s">
        <v>1082</v>
      </c>
    </row>
    <row r="37" spans="2:22" ht="19.5" hidden="1" customHeight="1">
      <c r="E37" s="491" t="s">
        <v>1397</v>
      </c>
      <c r="F37" s="492" t="s">
        <v>1398</v>
      </c>
      <c r="G37" s="493" t="s">
        <v>1399</v>
      </c>
    </row>
    <row r="38" spans="2:22" ht="25.5" hidden="1" customHeight="1">
      <c r="E38" s="494">
        <v>0.13</v>
      </c>
      <c r="F38" s="495">
        <v>0.27</v>
      </c>
      <c r="G38" s="496">
        <v>0.6</v>
      </c>
    </row>
    <row r="39" spans="2:22" ht="136.5" hidden="1">
      <c r="E39" s="444">
        <f>+E38*$B26</f>
        <v>909774.84888419986</v>
      </c>
      <c r="F39" s="444">
        <f t="shared" ref="F39:G39" si="10">+F38*$B26</f>
        <v>1889532.3784517997</v>
      </c>
      <c r="G39" s="444">
        <f t="shared" si="10"/>
        <v>4198960.8410039991</v>
      </c>
    </row>
    <row r="40" spans="2:22" ht="19.5" hidden="1" customHeight="1">
      <c r="E40" s="585">
        <f>+E39+F39+G39</f>
        <v>6998268.0683399988</v>
      </c>
      <c r="F40" s="586"/>
      <c r="G40" s="586"/>
    </row>
    <row r="41" spans="2:22" hidden="1"/>
    <row r="42" spans="2:22" hidden="1"/>
    <row r="43" spans="2:22" hidden="1"/>
    <row r="44" spans="2:22" hidden="1">
      <c r="B44" s="508"/>
    </row>
    <row r="45" spans="2:22" hidden="1">
      <c r="B45" s="508"/>
    </row>
    <row r="46" spans="2:22" hidden="1">
      <c r="B46" s="509"/>
    </row>
    <row r="47" spans="2:22" hidden="1">
      <c r="B47" s="508"/>
    </row>
    <row r="48" spans="2:2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</sheetData>
  <mergeCells count="6">
    <mergeCell ref="Q27:V27"/>
    <mergeCell ref="E40:G40"/>
    <mergeCell ref="B2:B3"/>
    <mergeCell ref="D2:D3"/>
    <mergeCell ref="E27:K27"/>
    <mergeCell ref="L27:P27"/>
  </mergeCells>
  <conditionalFormatting sqref="B4 E38:G38 C3:C4 D4:V4 B26:D30">
    <cfRule type="expression" dxfId="0" priority="2">
      <formula>MOD(ROW(),2)=0</formula>
    </cfRule>
  </conditionalFormatting>
  <pageMargins left="0.511811024" right="0.511811024" top="0.78740157499999996" bottom="0.78740157499999996" header="0.31496062000000002" footer="0.31496062000000002"/>
  <pageSetup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ORCAMENTO</vt:lpstr>
      <vt:lpstr>Crono Inicial</vt:lpstr>
      <vt:lpstr>Crono Inicial (2)</vt:lpstr>
      <vt:lpstr>ORCAMENTO!Area_de_impressao</vt:lpstr>
      <vt:lpstr>MOT</vt:lpstr>
      <vt:lpstr>PRE</vt:lpstr>
      <vt:lpstr>ORCAMENTO!Titulos_de_impressao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Apoio</dc:creator>
  <cp:lastModifiedBy>Bruno Galindo</cp:lastModifiedBy>
  <cp:revision>1</cp:revision>
  <cp:lastPrinted>2015-10-28T16:36:55Z</cp:lastPrinted>
  <dcterms:created xsi:type="dcterms:W3CDTF">2005-11-04T18:24:33Z</dcterms:created>
  <dcterms:modified xsi:type="dcterms:W3CDTF">2015-10-28T16:37:05Z</dcterms:modified>
</cp:coreProperties>
</file>