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:\Outros computadores\Meu modelo Computador\proaf\Arquivo Licitacao\LICITAÇÕES 2024\Concorrência Eletrônica\C-e 01 2024 - Reforma Centro de Inovação CLM 21.618.359-2\"/>
    </mc:Choice>
  </mc:AlternateContent>
  <xr:revisionPtr revIDLastSave="0" documentId="13_ncr:1_{3E1A229D-09CB-41D4-A944-EFD932CF6A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ÇAMENTO" sheetId="1" r:id="rId1"/>
    <sheet name="COMPOSIÇÕES" sheetId="2" r:id="rId2"/>
    <sheet name="CRONOGRAMA - OBRA" sheetId="3" r:id="rId3"/>
    <sheet name="BDI" sheetId="4" r:id="rId4"/>
  </sheets>
  <calcPr calcId="191029"/>
  <extLst>
    <ext uri="GoogleSheetsCustomDataVersion2">
      <go:sheetsCustomData xmlns:go="http://customooxmlschemas.google.com/" r:id="rId8" roundtripDataChecksum="M5WdvkO9CiqzNKV85QW5pzGWHfGjG3WhObMsjJlujP8="/>
    </ext>
  </extLst>
</workbook>
</file>

<file path=xl/calcChain.xml><?xml version="1.0" encoding="utf-8"?>
<calcChain xmlns="http://schemas.openxmlformats.org/spreadsheetml/2006/main">
  <c r="F20" i="4" l="1"/>
  <c r="F28" i="4" s="1"/>
  <c r="M4" i="1" s="1"/>
  <c r="U41" i="3"/>
  <c r="B41" i="3"/>
  <c r="U40" i="3"/>
  <c r="B40" i="3"/>
  <c r="U39" i="3"/>
  <c r="B39" i="3"/>
  <c r="U38" i="3"/>
  <c r="B38" i="3"/>
  <c r="U37" i="3"/>
  <c r="B37" i="3"/>
  <c r="U36" i="3"/>
  <c r="B36" i="3"/>
  <c r="U35" i="3"/>
  <c r="B35" i="3"/>
  <c r="U34" i="3"/>
  <c r="B34" i="3"/>
  <c r="U33" i="3"/>
  <c r="B33" i="3"/>
  <c r="U32" i="3"/>
  <c r="B32" i="3"/>
  <c r="U31" i="3"/>
  <c r="B31" i="3"/>
  <c r="U29" i="3"/>
  <c r="B29" i="3"/>
  <c r="U28" i="3"/>
  <c r="B28" i="3"/>
  <c r="U27" i="3"/>
  <c r="B27" i="3"/>
  <c r="U26" i="3"/>
  <c r="B26" i="3"/>
  <c r="U25" i="3"/>
  <c r="B25" i="3"/>
  <c r="U24" i="3"/>
  <c r="B24" i="3"/>
  <c r="U23" i="3"/>
  <c r="B23" i="3"/>
  <c r="U22" i="3"/>
  <c r="B22" i="3"/>
  <c r="U21" i="3"/>
  <c r="B21" i="3"/>
  <c r="U20" i="3"/>
  <c r="B20" i="3"/>
  <c r="U19" i="3"/>
  <c r="B19" i="3"/>
  <c r="U18" i="3"/>
  <c r="B18" i="3"/>
  <c r="U17" i="3"/>
  <c r="B17" i="3"/>
  <c r="U16" i="3"/>
  <c r="B16" i="3"/>
  <c r="U15" i="3"/>
  <c r="B15" i="3"/>
  <c r="I84" i="2"/>
  <c r="J83" i="2"/>
  <c r="I83" i="2"/>
  <c r="H83" i="2"/>
  <c r="G83" i="2"/>
  <c r="J82" i="2"/>
  <c r="I82" i="2"/>
  <c r="H82" i="2"/>
  <c r="G82" i="2"/>
  <c r="J81" i="2"/>
  <c r="I81" i="2"/>
  <c r="H81" i="2"/>
  <c r="G81" i="2"/>
  <c r="J80" i="2"/>
  <c r="I80" i="2"/>
  <c r="H80" i="2"/>
  <c r="G80" i="2"/>
  <c r="J79" i="2"/>
  <c r="I79" i="2"/>
  <c r="H79" i="2"/>
  <c r="G79" i="2"/>
  <c r="J78" i="2"/>
  <c r="I78" i="2"/>
  <c r="H78" i="2"/>
  <c r="G78" i="2"/>
  <c r="J77" i="2"/>
  <c r="I77" i="2"/>
  <c r="H77" i="2"/>
  <c r="G77" i="2"/>
  <c r="J76" i="2"/>
  <c r="I76" i="2"/>
  <c r="H76" i="2"/>
  <c r="G76" i="2"/>
  <c r="J75" i="2"/>
  <c r="I75" i="2"/>
  <c r="H75" i="2"/>
  <c r="G75" i="2"/>
  <c r="J74" i="2"/>
  <c r="I74" i="2"/>
  <c r="H74" i="2"/>
  <c r="G74" i="2"/>
  <c r="J73" i="2"/>
  <c r="J84" i="2" s="1"/>
  <c r="I73" i="2"/>
  <c r="H73" i="2"/>
  <c r="H84" i="2" s="1"/>
  <c r="G73" i="2"/>
  <c r="H69" i="2"/>
  <c r="I68" i="2"/>
  <c r="H68" i="2"/>
  <c r="G68" i="2"/>
  <c r="J68" i="2" s="1"/>
  <c r="I67" i="2"/>
  <c r="H67" i="2"/>
  <c r="G67" i="2"/>
  <c r="J67" i="2" s="1"/>
  <c r="I66" i="2"/>
  <c r="H66" i="2"/>
  <c r="G66" i="2"/>
  <c r="J66" i="2" s="1"/>
  <c r="I65" i="2"/>
  <c r="H65" i="2"/>
  <c r="G65" i="2"/>
  <c r="J65" i="2" s="1"/>
  <c r="I64" i="2"/>
  <c r="H64" i="2"/>
  <c r="G64" i="2"/>
  <c r="J64" i="2" s="1"/>
  <c r="I63" i="2"/>
  <c r="H63" i="2"/>
  <c r="G63" i="2"/>
  <c r="J63" i="2" s="1"/>
  <c r="I62" i="2"/>
  <c r="H62" i="2"/>
  <c r="G62" i="2"/>
  <c r="J62" i="2" s="1"/>
  <c r="I61" i="2"/>
  <c r="I69" i="2" s="1"/>
  <c r="H61" i="2"/>
  <c r="G61" i="2"/>
  <c r="J61" i="2" s="1"/>
  <c r="J56" i="2"/>
  <c r="I56" i="2"/>
  <c r="H56" i="2"/>
  <c r="G56" i="2"/>
  <c r="J55" i="2"/>
  <c r="I55" i="2"/>
  <c r="H55" i="2"/>
  <c r="G55" i="2"/>
  <c r="J54" i="2"/>
  <c r="I54" i="2"/>
  <c r="H54" i="2"/>
  <c r="G54" i="2"/>
  <c r="J53" i="2"/>
  <c r="I53" i="2"/>
  <c r="H53" i="2"/>
  <c r="G53" i="2"/>
  <c r="J52" i="2"/>
  <c r="I52" i="2"/>
  <c r="H52" i="2"/>
  <c r="G52" i="2"/>
  <c r="J51" i="2"/>
  <c r="I51" i="2"/>
  <c r="H51" i="2"/>
  <c r="G51" i="2"/>
  <c r="J50" i="2"/>
  <c r="J57" i="2" s="1"/>
  <c r="I50" i="2"/>
  <c r="I57" i="2" s="1"/>
  <c r="H50" i="2"/>
  <c r="H57" i="2" s="1"/>
  <c r="G50" i="2"/>
  <c r="I45" i="2"/>
  <c r="H45" i="2"/>
  <c r="G45" i="2"/>
  <c r="J45" i="2" s="1"/>
  <c r="I44" i="2"/>
  <c r="H44" i="2"/>
  <c r="G44" i="2"/>
  <c r="J44" i="2" s="1"/>
  <c r="I43" i="2"/>
  <c r="H43" i="2"/>
  <c r="G43" i="2"/>
  <c r="J43" i="2" s="1"/>
  <c r="I42" i="2"/>
  <c r="H42" i="2"/>
  <c r="G42" i="2"/>
  <c r="J42" i="2" s="1"/>
  <c r="J46" i="2" s="1"/>
  <c r="I41" i="2"/>
  <c r="H41" i="2"/>
  <c r="H46" i="2" s="1"/>
  <c r="G41" i="2"/>
  <c r="J41" i="2" s="1"/>
  <c r="I37" i="2"/>
  <c r="I36" i="2"/>
  <c r="H36" i="2"/>
  <c r="G36" i="2"/>
  <c r="J36" i="2" s="1"/>
  <c r="I35" i="2"/>
  <c r="H35" i="2"/>
  <c r="G35" i="2"/>
  <c r="J35" i="2" s="1"/>
  <c r="I34" i="2"/>
  <c r="H34" i="2"/>
  <c r="G34" i="2"/>
  <c r="J34" i="2" s="1"/>
  <c r="I33" i="2"/>
  <c r="H33" i="2"/>
  <c r="G33" i="2"/>
  <c r="J33" i="2" s="1"/>
  <c r="I32" i="2"/>
  <c r="H32" i="2"/>
  <c r="G32" i="2"/>
  <c r="J32" i="2" s="1"/>
  <c r="I31" i="2"/>
  <c r="H31" i="2"/>
  <c r="G31" i="2"/>
  <c r="J31" i="2" s="1"/>
  <c r="I30" i="2"/>
  <c r="H30" i="2"/>
  <c r="G30" i="2"/>
  <c r="J30" i="2" s="1"/>
  <c r="I29" i="2"/>
  <c r="H29" i="2"/>
  <c r="G29" i="2"/>
  <c r="J29" i="2" s="1"/>
  <c r="J37" i="2" s="1"/>
  <c r="H25" i="2"/>
  <c r="I24" i="2"/>
  <c r="H24" i="2"/>
  <c r="G24" i="2"/>
  <c r="J24" i="2" s="1"/>
  <c r="I23" i="2"/>
  <c r="H23" i="2"/>
  <c r="G23" i="2"/>
  <c r="J23" i="2" s="1"/>
  <c r="I22" i="2"/>
  <c r="I25" i="2" s="1"/>
  <c r="H22" i="2"/>
  <c r="G22" i="2"/>
  <c r="J22" i="2" s="1"/>
  <c r="J17" i="2"/>
  <c r="I17" i="2"/>
  <c r="H17" i="2"/>
  <c r="G17" i="2"/>
  <c r="J16" i="2"/>
  <c r="I16" i="2"/>
  <c r="H16" i="2"/>
  <c r="G16" i="2"/>
  <c r="J15" i="2"/>
  <c r="I15" i="2"/>
  <c r="H15" i="2"/>
  <c r="G15" i="2"/>
  <c r="J14" i="2"/>
  <c r="J18" i="2" s="1"/>
  <c r="G14" i="2"/>
  <c r="D14" i="2"/>
  <c r="K439" i="1"/>
  <c r="J439" i="1"/>
  <c r="L439" i="1" s="1"/>
  <c r="I439" i="1"/>
  <c r="K438" i="1"/>
  <c r="J438" i="1"/>
  <c r="I438" i="1"/>
  <c r="L437" i="1"/>
  <c r="K437" i="1"/>
  <c r="K436" i="1" s="1"/>
  <c r="J437" i="1"/>
  <c r="I437" i="1"/>
  <c r="K434" i="1"/>
  <c r="J434" i="1"/>
  <c r="L434" i="1" s="1"/>
  <c r="L430" i="1" s="1"/>
  <c r="K430" i="1"/>
  <c r="J430" i="1"/>
  <c r="K428" i="1"/>
  <c r="J428" i="1"/>
  <c r="L428" i="1" s="1"/>
  <c r="I428" i="1"/>
  <c r="K427" i="1"/>
  <c r="J427" i="1"/>
  <c r="L427" i="1" s="1"/>
  <c r="I427" i="1"/>
  <c r="K426" i="1"/>
  <c r="J426" i="1"/>
  <c r="L426" i="1" s="1"/>
  <c r="I426" i="1"/>
  <c r="K425" i="1"/>
  <c r="L425" i="1" s="1"/>
  <c r="J425" i="1"/>
  <c r="I425" i="1"/>
  <c r="L424" i="1"/>
  <c r="K424" i="1"/>
  <c r="J424" i="1"/>
  <c r="I424" i="1"/>
  <c r="K423" i="1"/>
  <c r="J423" i="1"/>
  <c r="I423" i="1"/>
  <c r="L422" i="1"/>
  <c r="K422" i="1"/>
  <c r="J422" i="1"/>
  <c r="I422" i="1"/>
  <c r="L421" i="1"/>
  <c r="K421" i="1"/>
  <c r="J421" i="1"/>
  <c r="I421" i="1"/>
  <c r="K420" i="1"/>
  <c r="J420" i="1"/>
  <c r="L420" i="1" s="1"/>
  <c r="I420" i="1"/>
  <c r="K419" i="1"/>
  <c r="J419" i="1"/>
  <c r="L419" i="1" s="1"/>
  <c r="I419" i="1"/>
  <c r="K418" i="1"/>
  <c r="J418" i="1"/>
  <c r="L418" i="1" s="1"/>
  <c r="I418" i="1"/>
  <c r="K417" i="1"/>
  <c r="L417" i="1" s="1"/>
  <c r="J417" i="1"/>
  <c r="I417" i="1"/>
  <c r="L416" i="1"/>
  <c r="K416" i="1"/>
  <c r="J416" i="1"/>
  <c r="I416" i="1"/>
  <c r="K414" i="1"/>
  <c r="J414" i="1"/>
  <c r="I414" i="1"/>
  <c r="L413" i="1"/>
  <c r="K413" i="1"/>
  <c r="J413" i="1"/>
  <c r="I413" i="1"/>
  <c r="L412" i="1"/>
  <c r="K412" i="1"/>
  <c r="J412" i="1"/>
  <c r="I412" i="1"/>
  <c r="K411" i="1"/>
  <c r="J411" i="1"/>
  <c r="L411" i="1" s="1"/>
  <c r="I411" i="1"/>
  <c r="K410" i="1"/>
  <c r="J410" i="1"/>
  <c r="L410" i="1" s="1"/>
  <c r="I410" i="1"/>
  <c r="K409" i="1"/>
  <c r="J409" i="1"/>
  <c r="L409" i="1" s="1"/>
  <c r="I409" i="1"/>
  <c r="K408" i="1"/>
  <c r="L408" i="1" s="1"/>
  <c r="J408" i="1"/>
  <c r="I408" i="1"/>
  <c r="L407" i="1"/>
  <c r="K407" i="1"/>
  <c r="J407" i="1"/>
  <c r="I407" i="1"/>
  <c r="K406" i="1"/>
  <c r="J406" i="1"/>
  <c r="I406" i="1"/>
  <c r="L405" i="1"/>
  <c r="K405" i="1"/>
  <c r="J405" i="1"/>
  <c r="I405" i="1"/>
  <c r="L404" i="1"/>
  <c r="K404" i="1"/>
  <c r="J404" i="1"/>
  <c r="I404" i="1"/>
  <c r="K403" i="1"/>
  <c r="J403" i="1"/>
  <c r="L403" i="1" s="1"/>
  <c r="I403" i="1"/>
  <c r="K402" i="1"/>
  <c r="J402" i="1"/>
  <c r="L402" i="1" s="1"/>
  <c r="I402" i="1"/>
  <c r="K401" i="1"/>
  <c r="J401" i="1"/>
  <c r="L401" i="1" s="1"/>
  <c r="I401" i="1"/>
  <c r="F401" i="1"/>
  <c r="I400" i="1"/>
  <c r="F400" i="1"/>
  <c r="K400" i="1" s="1"/>
  <c r="I399" i="1"/>
  <c r="F399" i="1"/>
  <c r="K397" i="1"/>
  <c r="J397" i="1"/>
  <c r="L397" i="1" s="1"/>
  <c r="I397" i="1"/>
  <c r="K396" i="1"/>
  <c r="J396" i="1"/>
  <c r="L396" i="1" s="1"/>
  <c r="I396" i="1"/>
  <c r="K395" i="1"/>
  <c r="J395" i="1"/>
  <c r="L395" i="1" s="1"/>
  <c r="I395" i="1"/>
  <c r="K394" i="1"/>
  <c r="L394" i="1" s="1"/>
  <c r="J394" i="1"/>
  <c r="I394" i="1"/>
  <c r="L393" i="1"/>
  <c r="K393" i="1"/>
  <c r="J393" i="1"/>
  <c r="I393" i="1"/>
  <c r="K392" i="1"/>
  <c r="J392" i="1"/>
  <c r="I392" i="1"/>
  <c r="L391" i="1"/>
  <c r="K391" i="1"/>
  <c r="J391" i="1"/>
  <c r="I391" i="1"/>
  <c r="L390" i="1"/>
  <c r="K390" i="1"/>
  <c r="J390" i="1"/>
  <c r="I390" i="1"/>
  <c r="K389" i="1"/>
  <c r="J389" i="1"/>
  <c r="L389" i="1" s="1"/>
  <c r="I389" i="1"/>
  <c r="K388" i="1"/>
  <c r="J388" i="1"/>
  <c r="L388" i="1" s="1"/>
  <c r="I388" i="1"/>
  <c r="K387" i="1"/>
  <c r="J387" i="1"/>
  <c r="L387" i="1" s="1"/>
  <c r="I387" i="1"/>
  <c r="K386" i="1"/>
  <c r="L386" i="1" s="1"/>
  <c r="J386" i="1"/>
  <c r="I386" i="1"/>
  <c r="L385" i="1"/>
  <c r="K385" i="1"/>
  <c r="J385" i="1"/>
  <c r="I385" i="1"/>
  <c r="K384" i="1"/>
  <c r="J384" i="1"/>
  <c r="I384" i="1"/>
  <c r="L380" i="1"/>
  <c r="K380" i="1"/>
  <c r="J380" i="1"/>
  <c r="I380" i="1"/>
  <c r="K379" i="1"/>
  <c r="J379" i="1"/>
  <c r="L379" i="1" s="1"/>
  <c r="I379" i="1"/>
  <c r="K378" i="1"/>
  <c r="J378" i="1"/>
  <c r="L378" i="1" s="1"/>
  <c r="I378" i="1"/>
  <c r="K377" i="1"/>
  <c r="J377" i="1"/>
  <c r="L377" i="1" s="1"/>
  <c r="I377" i="1"/>
  <c r="K376" i="1"/>
  <c r="J376" i="1"/>
  <c r="L376" i="1" s="1"/>
  <c r="I376" i="1"/>
  <c r="K375" i="1"/>
  <c r="L375" i="1" s="1"/>
  <c r="J375" i="1"/>
  <c r="I375" i="1"/>
  <c r="L374" i="1"/>
  <c r="K374" i="1"/>
  <c r="J374" i="1"/>
  <c r="I374" i="1"/>
  <c r="K373" i="1"/>
  <c r="J373" i="1"/>
  <c r="L373" i="1" s="1"/>
  <c r="I373" i="1"/>
  <c r="K372" i="1"/>
  <c r="J372" i="1"/>
  <c r="L372" i="1" s="1"/>
  <c r="I372" i="1"/>
  <c r="K371" i="1"/>
  <c r="L371" i="1" s="1"/>
  <c r="J371" i="1"/>
  <c r="I371" i="1"/>
  <c r="L370" i="1"/>
  <c r="K370" i="1"/>
  <c r="J370" i="1"/>
  <c r="I370" i="1"/>
  <c r="K369" i="1"/>
  <c r="J369" i="1"/>
  <c r="L369" i="1" s="1"/>
  <c r="I369" i="1"/>
  <c r="K368" i="1"/>
  <c r="J368" i="1"/>
  <c r="L368" i="1" s="1"/>
  <c r="I368" i="1"/>
  <c r="K367" i="1"/>
  <c r="L367" i="1" s="1"/>
  <c r="J367" i="1"/>
  <c r="I367" i="1"/>
  <c r="L366" i="1"/>
  <c r="K366" i="1"/>
  <c r="J366" i="1"/>
  <c r="I366" i="1"/>
  <c r="K365" i="1"/>
  <c r="J365" i="1"/>
  <c r="L365" i="1" s="1"/>
  <c r="I365" i="1"/>
  <c r="K364" i="1"/>
  <c r="J364" i="1"/>
  <c r="L364" i="1" s="1"/>
  <c r="I364" i="1"/>
  <c r="K363" i="1"/>
  <c r="L363" i="1" s="1"/>
  <c r="J363" i="1"/>
  <c r="I363" i="1"/>
  <c r="L362" i="1"/>
  <c r="K362" i="1"/>
  <c r="J362" i="1"/>
  <c r="I362" i="1"/>
  <c r="K361" i="1"/>
  <c r="J361" i="1"/>
  <c r="L361" i="1" s="1"/>
  <c r="I361" i="1"/>
  <c r="K360" i="1"/>
  <c r="J360" i="1"/>
  <c r="I360" i="1"/>
  <c r="K359" i="1"/>
  <c r="J359" i="1"/>
  <c r="I359" i="1"/>
  <c r="K356" i="1"/>
  <c r="J356" i="1"/>
  <c r="L356" i="1" s="1"/>
  <c r="I356" i="1"/>
  <c r="K355" i="1"/>
  <c r="J355" i="1"/>
  <c r="I355" i="1"/>
  <c r="L355" i="1" s="1"/>
  <c r="K354" i="1"/>
  <c r="L354" i="1" s="1"/>
  <c r="J354" i="1"/>
  <c r="I354" i="1"/>
  <c r="L353" i="1"/>
  <c r="K353" i="1"/>
  <c r="J353" i="1"/>
  <c r="I353" i="1"/>
  <c r="K352" i="1"/>
  <c r="J352" i="1"/>
  <c r="L352" i="1" s="1"/>
  <c r="I352" i="1"/>
  <c r="K351" i="1"/>
  <c r="J351" i="1"/>
  <c r="I351" i="1"/>
  <c r="L351" i="1" s="1"/>
  <c r="L350" i="1"/>
  <c r="K350" i="1"/>
  <c r="K348" i="1" s="1"/>
  <c r="J350" i="1"/>
  <c r="I350" i="1"/>
  <c r="L349" i="1"/>
  <c r="K349" i="1"/>
  <c r="J349" i="1"/>
  <c r="I349" i="1"/>
  <c r="J348" i="1"/>
  <c r="K346" i="1"/>
  <c r="J346" i="1"/>
  <c r="L346" i="1" s="1"/>
  <c r="I346" i="1"/>
  <c r="K345" i="1"/>
  <c r="L345" i="1" s="1"/>
  <c r="J345" i="1"/>
  <c r="I345" i="1"/>
  <c r="L344" i="1"/>
  <c r="K344" i="1"/>
  <c r="J344" i="1"/>
  <c r="I344" i="1"/>
  <c r="K343" i="1"/>
  <c r="J343" i="1"/>
  <c r="L343" i="1" s="1"/>
  <c r="I343" i="1"/>
  <c r="K342" i="1"/>
  <c r="J342" i="1"/>
  <c r="I342" i="1"/>
  <c r="F342" i="1"/>
  <c r="K339" i="1"/>
  <c r="J339" i="1"/>
  <c r="L339" i="1" s="1"/>
  <c r="I339" i="1"/>
  <c r="K338" i="1"/>
  <c r="J338" i="1"/>
  <c r="L338" i="1" s="1"/>
  <c r="I338" i="1"/>
  <c r="K337" i="1"/>
  <c r="L337" i="1" s="1"/>
  <c r="J337" i="1"/>
  <c r="I337" i="1"/>
  <c r="L336" i="1"/>
  <c r="K336" i="1"/>
  <c r="J336" i="1"/>
  <c r="I336" i="1"/>
  <c r="K335" i="1"/>
  <c r="J335" i="1"/>
  <c r="L335" i="1" s="1"/>
  <c r="I335" i="1"/>
  <c r="K334" i="1"/>
  <c r="J334" i="1"/>
  <c r="I334" i="1"/>
  <c r="K333" i="1"/>
  <c r="L333" i="1" s="1"/>
  <c r="J333" i="1"/>
  <c r="I333" i="1"/>
  <c r="L332" i="1"/>
  <c r="K332" i="1"/>
  <c r="J332" i="1"/>
  <c r="I332" i="1"/>
  <c r="K331" i="1"/>
  <c r="J331" i="1"/>
  <c r="L331" i="1" s="1"/>
  <c r="I331" i="1"/>
  <c r="K330" i="1"/>
  <c r="J330" i="1"/>
  <c r="I330" i="1"/>
  <c r="L327" i="1"/>
  <c r="K327" i="1"/>
  <c r="J327" i="1"/>
  <c r="I327" i="1"/>
  <c r="K326" i="1"/>
  <c r="J326" i="1"/>
  <c r="L326" i="1" s="1"/>
  <c r="I326" i="1"/>
  <c r="K325" i="1"/>
  <c r="K324" i="1" s="1"/>
  <c r="J325" i="1"/>
  <c r="I325" i="1"/>
  <c r="L322" i="1"/>
  <c r="K322" i="1"/>
  <c r="J322" i="1"/>
  <c r="I322" i="1"/>
  <c r="K321" i="1"/>
  <c r="J321" i="1"/>
  <c r="L321" i="1" s="1"/>
  <c r="I321" i="1"/>
  <c r="K320" i="1"/>
  <c r="J320" i="1"/>
  <c r="I320" i="1"/>
  <c r="F320" i="1"/>
  <c r="L319" i="1"/>
  <c r="K319" i="1"/>
  <c r="J319" i="1"/>
  <c r="I319" i="1"/>
  <c r="K318" i="1"/>
  <c r="J318" i="1"/>
  <c r="L318" i="1" s="1"/>
  <c r="I318" i="1"/>
  <c r="K317" i="1"/>
  <c r="J317" i="1"/>
  <c r="I317" i="1"/>
  <c r="L314" i="1"/>
  <c r="K314" i="1"/>
  <c r="J314" i="1"/>
  <c r="I314" i="1"/>
  <c r="K313" i="1"/>
  <c r="J313" i="1"/>
  <c r="L313" i="1" s="1"/>
  <c r="I313" i="1"/>
  <c r="I312" i="1"/>
  <c r="I311" i="1"/>
  <c r="I310" i="1"/>
  <c r="K309" i="1"/>
  <c r="J309" i="1"/>
  <c r="I309" i="1"/>
  <c r="I308" i="1"/>
  <c r="F308" i="1"/>
  <c r="I307" i="1"/>
  <c r="F307" i="1"/>
  <c r="I306" i="1"/>
  <c r="F306" i="1"/>
  <c r="I305" i="1"/>
  <c r="I304" i="1"/>
  <c r="I303" i="1"/>
  <c r="I302" i="1"/>
  <c r="L301" i="1"/>
  <c r="K301" i="1"/>
  <c r="J301" i="1"/>
  <c r="I301" i="1"/>
  <c r="K300" i="1"/>
  <c r="K298" i="1"/>
  <c r="J298" i="1"/>
  <c r="I298" i="1"/>
  <c r="L298" i="1" s="1"/>
  <c r="L297" i="1"/>
  <c r="K297" i="1"/>
  <c r="J297" i="1"/>
  <c r="I297" i="1"/>
  <c r="L296" i="1"/>
  <c r="K296" i="1"/>
  <c r="J296" i="1"/>
  <c r="I296" i="1"/>
  <c r="K295" i="1"/>
  <c r="J295" i="1"/>
  <c r="I295" i="1"/>
  <c r="L295" i="1" s="1"/>
  <c r="K294" i="1"/>
  <c r="J294" i="1"/>
  <c r="I294" i="1"/>
  <c r="L294" i="1" s="1"/>
  <c r="L293" i="1"/>
  <c r="K293" i="1"/>
  <c r="J293" i="1"/>
  <c r="I293" i="1"/>
  <c r="L292" i="1"/>
  <c r="K292" i="1"/>
  <c r="J292" i="1"/>
  <c r="I292" i="1"/>
  <c r="K291" i="1"/>
  <c r="J291" i="1"/>
  <c r="I291" i="1"/>
  <c r="L291" i="1" s="1"/>
  <c r="K290" i="1"/>
  <c r="J290" i="1"/>
  <c r="I290" i="1"/>
  <c r="L290" i="1" s="1"/>
  <c r="L289" i="1"/>
  <c r="K289" i="1"/>
  <c r="K288" i="1" s="1"/>
  <c r="J289" i="1"/>
  <c r="I289" i="1"/>
  <c r="J288" i="1"/>
  <c r="K285" i="1"/>
  <c r="J285" i="1"/>
  <c r="I285" i="1"/>
  <c r="K284" i="1"/>
  <c r="J284" i="1"/>
  <c r="L284" i="1" s="1"/>
  <c r="I284" i="1"/>
  <c r="L283" i="1"/>
  <c r="K283" i="1"/>
  <c r="K282" i="1" s="1"/>
  <c r="J283" i="1"/>
  <c r="I283" i="1"/>
  <c r="K280" i="1"/>
  <c r="J280" i="1"/>
  <c r="L280" i="1" s="1"/>
  <c r="I280" i="1"/>
  <c r="K279" i="1"/>
  <c r="J279" i="1"/>
  <c r="I279" i="1"/>
  <c r="F279" i="1"/>
  <c r="I278" i="1"/>
  <c r="F278" i="1"/>
  <c r="K277" i="1"/>
  <c r="J277" i="1"/>
  <c r="I277" i="1"/>
  <c r="F277" i="1"/>
  <c r="I276" i="1"/>
  <c r="F276" i="1"/>
  <c r="K275" i="1"/>
  <c r="J275" i="1"/>
  <c r="I275" i="1"/>
  <c r="F275" i="1"/>
  <c r="K272" i="1"/>
  <c r="J272" i="1"/>
  <c r="L272" i="1" s="1"/>
  <c r="I272" i="1"/>
  <c r="K271" i="1"/>
  <c r="J271" i="1"/>
  <c r="L271" i="1" s="1"/>
  <c r="I271" i="1"/>
  <c r="K270" i="1"/>
  <c r="L270" i="1" s="1"/>
  <c r="J270" i="1"/>
  <c r="I270" i="1"/>
  <c r="L269" i="1"/>
  <c r="K269" i="1"/>
  <c r="J269" i="1"/>
  <c r="I269" i="1"/>
  <c r="K268" i="1"/>
  <c r="J268" i="1"/>
  <c r="L268" i="1" s="1"/>
  <c r="I268" i="1"/>
  <c r="K267" i="1"/>
  <c r="J267" i="1"/>
  <c r="L267" i="1" s="1"/>
  <c r="I267" i="1"/>
  <c r="K266" i="1"/>
  <c r="L266" i="1" s="1"/>
  <c r="J266" i="1"/>
  <c r="I266" i="1"/>
  <c r="L265" i="1"/>
  <c r="K265" i="1"/>
  <c r="J265" i="1"/>
  <c r="I265" i="1"/>
  <c r="K264" i="1"/>
  <c r="J264" i="1"/>
  <c r="I264" i="1"/>
  <c r="K263" i="1"/>
  <c r="L261" i="1"/>
  <c r="K261" i="1"/>
  <c r="J261" i="1"/>
  <c r="I261" i="1"/>
  <c r="L260" i="1"/>
  <c r="K260" i="1"/>
  <c r="J260" i="1"/>
  <c r="I260" i="1"/>
  <c r="K259" i="1"/>
  <c r="J259" i="1"/>
  <c r="L259" i="1" s="1"/>
  <c r="I259" i="1"/>
  <c r="K258" i="1"/>
  <c r="K257" i="1" s="1"/>
  <c r="J258" i="1"/>
  <c r="I258" i="1"/>
  <c r="I255" i="1"/>
  <c r="F255" i="1"/>
  <c r="K254" i="1"/>
  <c r="J254" i="1"/>
  <c r="I254" i="1"/>
  <c r="F254" i="1"/>
  <c r="L253" i="1"/>
  <c r="K253" i="1"/>
  <c r="J253" i="1"/>
  <c r="I253" i="1"/>
  <c r="K252" i="1"/>
  <c r="J252" i="1"/>
  <c r="L252" i="1" s="1"/>
  <c r="I252" i="1"/>
  <c r="K251" i="1"/>
  <c r="L251" i="1" s="1"/>
  <c r="J251" i="1"/>
  <c r="I251" i="1"/>
  <c r="I250" i="1"/>
  <c r="F250" i="1"/>
  <c r="K249" i="1"/>
  <c r="J249" i="1"/>
  <c r="L249" i="1" s="1"/>
  <c r="I249" i="1"/>
  <c r="F249" i="1"/>
  <c r="I248" i="1"/>
  <c r="F248" i="1"/>
  <c r="K246" i="1"/>
  <c r="J246" i="1"/>
  <c r="L246" i="1" s="1"/>
  <c r="I246" i="1"/>
  <c r="F246" i="1"/>
  <c r="I245" i="1"/>
  <c r="F245" i="1"/>
  <c r="K244" i="1"/>
  <c r="J244" i="1"/>
  <c r="L244" i="1" s="1"/>
  <c r="I244" i="1"/>
  <c r="F244" i="1"/>
  <c r="I243" i="1"/>
  <c r="F243" i="1"/>
  <c r="K242" i="1"/>
  <c r="J242" i="1"/>
  <c r="L242" i="1" s="1"/>
  <c r="I242" i="1"/>
  <c r="I241" i="1"/>
  <c r="F241" i="1"/>
  <c r="J241" i="1" s="1"/>
  <c r="K240" i="1"/>
  <c r="J240" i="1"/>
  <c r="L240" i="1" s="1"/>
  <c r="I240" i="1"/>
  <c r="F240" i="1"/>
  <c r="K239" i="1"/>
  <c r="L239" i="1" s="1"/>
  <c r="I239" i="1"/>
  <c r="F239" i="1"/>
  <c r="J239" i="1" s="1"/>
  <c r="K238" i="1"/>
  <c r="J238" i="1"/>
  <c r="I238" i="1"/>
  <c r="F238" i="1"/>
  <c r="L234" i="1"/>
  <c r="K234" i="1"/>
  <c r="J234" i="1"/>
  <c r="I234" i="1"/>
  <c r="K233" i="1"/>
  <c r="J233" i="1"/>
  <c r="L233" i="1" s="1"/>
  <c r="I233" i="1"/>
  <c r="F233" i="1"/>
  <c r="L232" i="1"/>
  <c r="K232" i="1"/>
  <c r="J232" i="1"/>
  <c r="I232" i="1"/>
  <c r="L231" i="1"/>
  <c r="K231" i="1"/>
  <c r="J231" i="1"/>
  <c r="I231" i="1"/>
  <c r="K230" i="1"/>
  <c r="J230" i="1"/>
  <c r="L230" i="1" s="1"/>
  <c r="I230" i="1"/>
  <c r="K229" i="1"/>
  <c r="J229" i="1"/>
  <c r="I229" i="1"/>
  <c r="L228" i="1"/>
  <c r="K228" i="1"/>
  <c r="J228" i="1"/>
  <c r="I228" i="1"/>
  <c r="L227" i="1"/>
  <c r="K227" i="1"/>
  <c r="J227" i="1"/>
  <c r="I227" i="1"/>
  <c r="K226" i="1"/>
  <c r="J226" i="1"/>
  <c r="L226" i="1" s="1"/>
  <c r="I226" i="1"/>
  <c r="K225" i="1"/>
  <c r="J225" i="1"/>
  <c r="I225" i="1"/>
  <c r="L224" i="1"/>
  <c r="K224" i="1"/>
  <c r="J224" i="1"/>
  <c r="I224" i="1"/>
  <c r="L223" i="1"/>
  <c r="K223" i="1"/>
  <c r="J223" i="1"/>
  <c r="I223" i="1"/>
  <c r="K222" i="1"/>
  <c r="J222" i="1"/>
  <c r="L222" i="1" s="1"/>
  <c r="I222" i="1"/>
  <c r="K221" i="1"/>
  <c r="J221" i="1"/>
  <c r="I221" i="1"/>
  <c r="L220" i="1"/>
  <c r="K220" i="1"/>
  <c r="J220" i="1"/>
  <c r="I220" i="1"/>
  <c r="L219" i="1"/>
  <c r="K219" i="1"/>
  <c r="J219" i="1"/>
  <c r="I219" i="1"/>
  <c r="K218" i="1"/>
  <c r="J218" i="1"/>
  <c r="L218" i="1" s="1"/>
  <c r="I218" i="1"/>
  <c r="K216" i="1"/>
  <c r="J216" i="1"/>
  <c r="I216" i="1"/>
  <c r="F216" i="1"/>
  <c r="L215" i="1"/>
  <c r="K215" i="1"/>
  <c r="J215" i="1"/>
  <c r="I215" i="1"/>
  <c r="K214" i="1"/>
  <c r="J214" i="1"/>
  <c r="L214" i="1" s="1"/>
  <c r="I214" i="1"/>
  <c r="F214" i="1"/>
  <c r="K213" i="1"/>
  <c r="L213" i="1" s="1"/>
  <c r="I213" i="1"/>
  <c r="F213" i="1"/>
  <c r="J213" i="1" s="1"/>
  <c r="K212" i="1"/>
  <c r="J212" i="1"/>
  <c r="L212" i="1" s="1"/>
  <c r="I212" i="1"/>
  <c r="K211" i="1"/>
  <c r="J211" i="1"/>
  <c r="L211" i="1" s="1"/>
  <c r="I211" i="1"/>
  <c r="K210" i="1"/>
  <c r="L210" i="1" s="1"/>
  <c r="J210" i="1"/>
  <c r="I210" i="1"/>
  <c r="L209" i="1"/>
  <c r="J209" i="1"/>
  <c r="I209" i="1"/>
  <c r="H209" i="1"/>
  <c r="K209" i="1" s="1"/>
  <c r="G209" i="1"/>
  <c r="L207" i="1"/>
  <c r="K207" i="1"/>
  <c r="J207" i="1"/>
  <c r="I207" i="1"/>
  <c r="L206" i="1"/>
  <c r="K206" i="1"/>
  <c r="J206" i="1"/>
  <c r="I206" i="1"/>
  <c r="K205" i="1"/>
  <c r="J205" i="1"/>
  <c r="L205" i="1" s="1"/>
  <c r="I205" i="1"/>
  <c r="K204" i="1"/>
  <c r="J204" i="1"/>
  <c r="I204" i="1"/>
  <c r="L203" i="1"/>
  <c r="K203" i="1"/>
  <c r="J203" i="1"/>
  <c r="I203" i="1"/>
  <c r="L202" i="1"/>
  <c r="K202" i="1"/>
  <c r="J202" i="1"/>
  <c r="I202" i="1"/>
  <c r="K201" i="1"/>
  <c r="J201" i="1"/>
  <c r="L201" i="1" s="1"/>
  <c r="I201" i="1"/>
  <c r="K200" i="1"/>
  <c r="J200" i="1"/>
  <c r="I200" i="1"/>
  <c r="L199" i="1"/>
  <c r="K199" i="1"/>
  <c r="J199" i="1"/>
  <c r="I199" i="1"/>
  <c r="L198" i="1"/>
  <c r="K198" i="1"/>
  <c r="J198" i="1"/>
  <c r="I198" i="1"/>
  <c r="K197" i="1"/>
  <c r="J197" i="1"/>
  <c r="L197" i="1" s="1"/>
  <c r="I197" i="1"/>
  <c r="K196" i="1"/>
  <c r="J196" i="1"/>
  <c r="I196" i="1"/>
  <c r="L195" i="1"/>
  <c r="K195" i="1"/>
  <c r="J195" i="1"/>
  <c r="K194" i="1"/>
  <c r="L194" i="1" s="1"/>
  <c r="J194" i="1"/>
  <c r="I194" i="1"/>
  <c r="L193" i="1"/>
  <c r="K193" i="1"/>
  <c r="J193" i="1"/>
  <c r="I193" i="1"/>
  <c r="K192" i="1"/>
  <c r="J192" i="1"/>
  <c r="L192" i="1" s="1"/>
  <c r="I192" i="1"/>
  <c r="K190" i="1"/>
  <c r="J190" i="1"/>
  <c r="I190" i="1"/>
  <c r="K189" i="1"/>
  <c r="L189" i="1" s="1"/>
  <c r="J189" i="1"/>
  <c r="I189" i="1"/>
  <c r="L188" i="1"/>
  <c r="K188" i="1"/>
  <c r="J188" i="1"/>
  <c r="I188" i="1"/>
  <c r="K187" i="1"/>
  <c r="J187" i="1"/>
  <c r="L187" i="1" s="1"/>
  <c r="I187" i="1"/>
  <c r="K186" i="1"/>
  <c r="J186" i="1"/>
  <c r="I186" i="1"/>
  <c r="K185" i="1"/>
  <c r="L185" i="1" s="1"/>
  <c r="J185" i="1"/>
  <c r="I185" i="1"/>
  <c r="L184" i="1"/>
  <c r="K184" i="1"/>
  <c r="J184" i="1"/>
  <c r="I184" i="1"/>
  <c r="K183" i="1"/>
  <c r="J183" i="1"/>
  <c r="L183" i="1" s="1"/>
  <c r="I183" i="1"/>
  <c r="K182" i="1"/>
  <c r="J182" i="1"/>
  <c r="I182" i="1"/>
  <c r="K181" i="1"/>
  <c r="L181" i="1" s="1"/>
  <c r="J181" i="1"/>
  <c r="I181" i="1"/>
  <c r="L180" i="1"/>
  <c r="K180" i="1"/>
  <c r="J180" i="1"/>
  <c r="I180" i="1"/>
  <c r="K179" i="1"/>
  <c r="J179" i="1"/>
  <c r="L179" i="1" s="1"/>
  <c r="I179" i="1"/>
  <c r="K178" i="1"/>
  <c r="J178" i="1"/>
  <c r="I178" i="1"/>
  <c r="K177" i="1"/>
  <c r="L177" i="1" s="1"/>
  <c r="I177" i="1"/>
  <c r="F177" i="1"/>
  <c r="J177" i="1" s="1"/>
  <c r="K176" i="1"/>
  <c r="J176" i="1"/>
  <c r="L176" i="1" s="1"/>
  <c r="I176" i="1"/>
  <c r="K175" i="1"/>
  <c r="J175" i="1"/>
  <c r="I175" i="1"/>
  <c r="F175" i="1"/>
  <c r="L173" i="1"/>
  <c r="K173" i="1"/>
  <c r="J173" i="1"/>
  <c r="I173" i="1"/>
  <c r="K172" i="1"/>
  <c r="J172" i="1"/>
  <c r="L172" i="1" s="1"/>
  <c r="I172" i="1"/>
  <c r="K171" i="1"/>
  <c r="J171" i="1"/>
  <c r="I171" i="1"/>
  <c r="K170" i="1"/>
  <c r="L170" i="1" s="1"/>
  <c r="J170" i="1"/>
  <c r="I170" i="1"/>
  <c r="L169" i="1"/>
  <c r="K169" i="1"/>
  <c r="J169" i="1"/>
  <c r="I169" i="1"/>
  <c r="K168" i="1"/>
  <c r="J168" i="1"/>
  <c r="L168" i="1" s="1"/>
  <c r="I168" i="1"/>
  <c r="K167" i="1"/>
  <c r="J167" i="1"/>
  <c r="I167" i="1"/>
  <c r="K166" i="1"/>
  <c r="L166" i="1" s="1"/>
  <c r="J166" i="1"/>
  <c r="I166" i="1"/>
  <c r="L165" i="1"/>
  <c r="K165" i="1"/>
  <c r="J165" i="1"/>
  <c r="I165" i="1"/>
  <c r="K164" i="1"/>
  <c r="J164" i="1"/>
  <c r="L164" i="1" s="1"/>
  <c r="I164" i="1"/>
  <c r="K163" i="1"/>
  <c r="J163" i="1"/>
  <c r="I163" i="1"/>
  <c r="K162" i="1"/>
  <c r="L162" i="1" s="1"/>
  <c r="J162" i="1"/>
  <c r="I162" i="1"/>
  <c r="L161" i="1"/>
  <c r="K161" i="1"/>
  <c r="J161" i="1"/>
  <c r="I161" i="1"/>
  <c r="K160" i="1"/>
  <c r="J160" i="1"/>
  <c r="L160" i="1" s="1"/>
  <c r="I160" i="1"/>
  <c r="K159" i="1"/>
  <c r="J159" i="1"/>
  <c r="I159" i="1"/>
  <c r="K158" i="1"/>
  <c r="J158" i="1"/>
  <c r="I158" i="1"/>
  <c r="K154" i="1"/>
  <c r="J154" i="1"/>
  <c r="L154" i="1" s="1"/>
  <c r="I154" i="1"/>
  <c r="K153" i="1"/>
  <c r="J153" i="1"/>
  <c r="L153" i="1" s="1"/>
  <c r="I153" i="1"/>
  <c r="L152" i="1"/>
  <c r="K152" i="1"/>
  <c r="J152" i="1"/>
  <c r="I152" i="1"/>
  <c r="L151" i="1"/>
  <c r="K151" i="1"/>
  <c r="J151" i="1"/>
  <c r="I151" i="1"/>
  <c r="K150" i="1"/>
  <c r="J150" i="1"/>
  <c r="L150" i="1" s="1"/>
  <c r="I150" i="1"/>
  <c r="K149" i="1"/>
  <c r="J149" i="1"/>
  <c r="L149" i="1" s="1"/>
  <c r="I149" i="1"/>
  <c r="L148" i="1"/>
  <c r="K148" i="1"/>
  <c r="J148" i="1"/>
  <c r="I148" i="1"/>
  <c r="L147" i="1"/>
  <c r="K147" i="1"/>
  <c r="J147" i="1"/>
  <c r="I147" i="1"/>
  <c r="K146" i="1"/>
  <c r="J146" i="1"/>
  <c r="L146" i="1" s="1"/>
  <c r="I146" i="1"/>
  <c r="K145" i="1"/>
  <c r="J145" i="1"/>
  <c r="L145" i="1" s="1"/>
  <c r="I145" i="1"/>
  <c r="L144" i="1"/>
  <c r="K144" i="1"/>
  <c r="J144" i="1"/>
  <c r="I144" i="1"/>
  <c r="L143" i="1"/>
  <c r="K143" i="1"/>
  <c r="J143" i="1"/>
  <c r="I143" i="1"/>
  <c r="K142" i="1"/>
  <c r="J142" i="1"/>
  <c r="L142" i="1" s="1"/>
  <c r="I142" i="1"/>
  <c r="K141" i="1"/>
  <c r="J141" i="1"/>
  <c r="L141" i="1" s="1"/>
  <c r="I141" i="1"/>
  <c r="L140" i="1"/>
  <c r="K140" i="1"/>
  <c r="J140" i="1"/>
  <c r="I140" i="1"/>
  <c r="L139" i="1"/>
  <c r="K139" i="1"/>
  <c r="J139" i="1"/>
  <c r="I139" i="1"/>
  <c r="K138" i="1"/>
  <c r="J138" i="1"/>
  <c r="L138" i="1" s="1"/>
  <c r="I138" i="1"/>
  <c r="K137" i="1"/>
  <c r="J137" i="1"/>
  <c r="L137" i="1" s="1"/>
  <c r="I137" i="1"/>
  <c r="L136" i="1"/>
  <c r="K136" i="1"/>
  <c r="J136" i="1"/>
  <c r="I136" i="1"/>
  <c r="L135" i="1"/>
  <c r="K135" i="1"/>
  <c r="J135" i="1"/>
  <c r="I135" i="1"/>
  <c r="K134" i="1"/>
  <c r="J134" i="1"/>
  <c r="L134" i="1" s="1"/>
  <c r="I134" i="1"/>
  <c r="H134" i="1"/>
  <c r="K133" i="1"/>
  <c r="L133" i="1" s="1"/>
  <c r="J133" i="1"/>
  <c r="I133" i="1"/>
  <c r="L132" i="1"/>
  <c r="K132" i="1"/>
  <c r="J132" i="1"/>
  <c r="I132" i="1"/>
  <c r="K131" i="1"/>
  <c r="J131" i="1"/>
  <c r="L131" i="1" s="1"/>
  <c r="I131" i="1"/>
  <c r="K130" i="1"/>
  <c r="J130" i="1"/>
  <c r="I130" i="1"/>
  <c r="K129" i="1"/>
  <c r="L129" i="1" s="1"/>
  <c r="J129" i="1"/>
  <c r="I129" i="1"/>
  <c r="L128" i="1"/>
  <c r="K128" i="1"/>
  <c r="J128" i="1"/>
  <c r="I128" i="1"/>
  <c r="K127" i="1"/>
  <c r="J127" i="1"/>
  <c r="L127" i="1" s="1"/>
  <c r="I127" i="1"/>
  <c r="K126" i="1"/>
  <c r="J126" i="1"/>
  <c r="L126" i="1" s="1"/>
  <c r="I126" i="1"/>
  <c r="K125" i="1"/>
  <c r="L125" i="1" s="1"/>
  <c r="J125" i="1"/>
  <c r="I125" i="1"/>
  <c r="L124" i="1"/>
  <c r="K124" i="1"/>
  <c r="J124" i="1"/>
  <c r="I124" i="1"/>
  <c r="K123" i="1"/>
  <c r="J123" i="1"/>
  <c r="L123" i="1" s="1"/>
  <c r="I123" i="1"/>
  <c r="K122" i="1"/>
  <c r="J122" i="1"/>
  <c r="I122" i="1"/>
  <c r="K121" i="1"/>
  <c r="L121" i="1" s="1"/>
  <c r="J121" i="1"/>
  <c r="I121" i="1"/>
  <c r="L120" i="1"/>
  <c r="K120" i="1"/>
  <c r="J120" i="1"/>
  <c r="I120" i="1"/>
  <c r="K119" i="1"/>
  <c r="J119" i="1"/>
  <c r="L119" i="1" s="1"/>
  <c r="I119" i="1"/>
  <c r="K118" i="1"/>
  <c r="J118" i="1"/>
  <c r="L118" i="1" s="1"/>
  <c r="I118" i="1"/>
  <c r="K117" i="1"/>
  <c r="L117" i="1" s="1"/>
  <c r="J117" i="1"/>
  <c r="I117" i="1"/>
  <c r="L116" i="1"/>
  <c r="K116" i="1"/>
  <c r="J116" i="1"/>
  <c r="I116" i="1"/>
  <c r="K115" i="1"/>
  <c r="J115" i="1"/>
  <c r="L115" i="1" s="1"/>
  <c r="I115" i="1"/>
  <c r="K114" i="1"/>
  <c r="J114" i="1"/>
  <c r="I114" i="1"/>
  <c r="K113" i="1"/>
  <c r="L113" i="1" s="1"/>
  <c r="J113" i="1"/>
  <c r="I113" i="1"/>
  <c r="L112" i="1"/>
  <c r="K112" i="1"/>
  <c r="J112" i="1"/>
  <c r="I112" i="1"/>
  <c r="K111" i="1"/>
  <c r="J111" i="1"/>
  <c r="L111" i="1" s="1"/>
  <c r="I111" i="1"/>
  <c r="K110" i="1"/>
  <c r="J110" i="1"/>
  <c r="L110" i="1" s="1"/>
  <c r="I110" i="1"/>
  <c r="K109" i="1"/>
  <c r="L109" i="1" s="1"/>
  <c r="J109" i="1"/>
  <c r="I109" i="1"/>
  <c r="L108" i="1"/>
  <c r="K108" i="1"/>
  <c r="J108" i="1"/>
  <c r="I108" i="1"/>
  <c r="K107" i="1"/>
  <c r="J107" i="1"/>
  <c r="L107" i="1" s="1"/>
  <c r="I107" i="1"/>
  <c r="K106" i="1"/>
  <c r="K102" i="1" s="1"/>
  <c r="J106" i="1"/>
  <c r="I106" i="1"/>
  <c r="K105" i="1"/>
  <c r="L105" i="1" s="1"/>
  <c r="J105" i="1"/>
  <c r="I105" i="1"/>
  <c r="L104" i="1"/>
  <c r="K104" i="1"/>
  <c r="J104" i="1"/>
  <c r="I104" i="1"/>
  <c r="K103" i="1"/>
  <c r="J103" i="1"/>
  <c r="I103" i="1"/>
  <c r="K100" i="1"/>
  <c r="L100" i="1" s="1"/>
  <c r="J100" i="1"/>
  <c r="I100" i="1"/>
  <c r="L99" i="1"/>
  <c r="K99" i="1"/>
  <c r="J99" i="1"/>
  <c r="I99" i="1"/>
  <c r="K98" i="1"/>
  <c r="J98" i="1"/>
  <c r="L98" i="1" s="1"/>
  <c r="I98" i="1"/>
  <c r="K97" i="1"/>
  <c r="J97" i="1"/>
  <c r="L97" i="1" s="1"/>
  <c r="I97" i="1"/>
  <c r="K96" i="1"/>
  <c r="L96" i="1" s="1"/>
  <c r="J96" i="1"/>
  <c r="I96" i="1"/>
  <c r="L95" i="1"/>
  <c r="K95" i="1"/>
  <c r="J95" i="1"/>
  <c r="I95" i="1"/>
  <c r="K94" i="1"/>
  <c r="J94" i="1"/>
  <c r="L94" i="1" s="1"/>
  <c r="I94" i="1"/>
  <c r="K93" i="1"/>
  <c r="J93" i="1"/>
  <c r="L93" i="1" s="1"/>
  <c r="I93" i="1"/>
  <c r="K92" i="1"/>
  <c r="K91" i="1" s="1"/>
  <c r="J92" i="1"/>
  <c r="I92" i="1"/>
  <c r="K89" i="1"/>
  <c r="J89" i="1"/>
  <c r="L89" i="1" s="1"/>
  <c r="I89" i="1"/>
  <c r="K88" i="1"/>
  <c r="J88" i="1"/>
  <c r="I88" i="1"/>
  <c r="L87" i="1"/>
  <c r="K87" i="1"/>
  <c r="J87" i="1"/>
  <c r="I87" i="1"/>
  <c r="L86" i="1"/>
  <c r="K86" i="1"/>
  <c r="J86" i="1"/>
  <c r="I86" i="1"/>
  <c r="K85" i="1"/>
  <c r="J85" i="1"/>
  <c r="I85" i="1"/>
  <c r="F85" i="1"/>
  <c r="L82" i="1"/>
  <c r="K82" i="1"/>
  <c r="J82" i="1"/>
  <c r="I82" i="1"/>
  <c r="K81" i="1"/>
  <c r="J81" i="1"/>
  <c r="L81" i="1" s="1"/>
  <c r="I81" i="1"/>
  <c r="K80" i="1"/>
  <c r="J80" i="1"/>
  <c r="I80" i="1"/>
  <c r="K79" i="1"/>
  <c r="L79" i="1" s="1"/>
  <c r="J79" i="1"/>
  <c r="I79" i="1"/>
  <c r="L78" i="1"/>
  <c r="K78" i="1"/>
  <c r="J78" i="1"/>
  <c r="I78" i="1"/>
  <c r="K77" i="1"/>
  <c r="J77" i="1"/>
  <c r="L77" i="1" s="1"/>
  <c r="I77" i="1"/>
  <c r="K76" i="1"/>
  <c r="J76" i="1"/>
  <c r="I76" i="1"/>
  <c r="K75" i="1"/>
  <c r="L75" i="1" s="1"/>
  <c r="J75" i="1"/>
  <c r="I75" i="1"/>
  <c r="L74" i="1"/>
  <c r="K74" i="1"/>
  <c r="J74" i="1"/>
  <c r="I74" i="1"/>
  <c r="K73" i="1"/>
  <c r="J73" i="1"/>
  <c r="L73" i="1" s="1"/>
  <c r="I73" i="1"/>
  <c r="K72" i="1"/>
  <c r="J72" i="1"/>
  <c r="I72" i="1"/>
  <c r="K71" i="1"/>
  <c r="K68" i="1" s="1"/>
  <c r="J71" i="1"/>
  <c r="I71" i="1"/>
  <c r="L70" i="1"/>
  <c r="K70" i="1"/>
  <c r="J70" i="1"/>
  <c r="I70" i="1"/>
  <c r="K69" i="1"/>
  <c r="J69" i="1"/>
  <c r="I69" i="1"/>
  <c r="K66" i="1"/>
  <c r="L66" i="1" s="1"/>
  <c r="J66" i="1"/>
  <c r="I66" i="1"/>
  <c r="L65" i="1"/>
  <c r="K65" i="1"/>
  <c r="J65" i="1"/>
  <c r="I65" i="1"/>
  <c r="K64" i="1"/>
  <c r="J64" i="1"/>
  <c r="I64" i="1"/>
  <c r="L63" i="1"/>
  <c r="K63" i="1"/>
  <c r="J63" i="1"/>
  <c r="I63" i="1"/>
  <c r="L62" i="1"/>
  <c r="K62" i="1"/>
  <c r="J62" i="1"/>
  <c r="I62" i="1"/>
  <c r="K61" i="1"/>
  <c r="J61" i="1"/>
  <c r="L61" i="1" s="1"/>
  <c r="I61" i="1"/>
  <c r="K60" i="1"/>
  <c r="J60" i="1"/>
  <c r="L60" i="1" s="1"/>
  <c r="I60" i="1"/>
  <c r="K59" i="1"/>
  <c r="J59" i="1"/>
  <c r="L59" i="1" s="1"/>
  <c r="I59" i="1"/>
  <c r="K58" i="1"/>
  <c r="L58" i="1" s="1"/>
  <c r="I58" i="1"/>
  <c r="F58" i="1"/>
  <c r="J58" i="1" s="1"/>
  <c r="K57" i="1"/>
  <c r="J57" i="1"/>
  <c r="I57" i="1"/>
  <c r="K54" i="1"/>
  <c r="L54" i="1" s="1"/>
  <c r="J54" i="1"/>
  <c r="I54" i="1"/>
  <c r="L53" i="1"/>
  <c r="K53" i="1"/>
  <c r="J53" i="1"/>
  <c r="I53" i="1"/>
  <c r="K52" i="1"/>
  <c r="K49" i="1" s="1"/>
  <c r="J52" i="1"/>
  <c r="I52" i="1"/>
  <c r="F52" i="1"/>
  <c r="K51" i="1"/>
  <c r="L51" i="1" s="1"/>
  <c r="J51" i="1"/>
  <c r="K50" i="1"/>
  <c r="L50" i="1" s="1"/>
  <c r="J50" i="1"/>
  <c r="I50" i="1"/>
  <c r="J49" i="1"/>
  <c r="K47" i="1"/>
  <c r="J47" i="1"/>
  <c r="L47" i="1" s="1"/>
  <c r="I47" i="1"/>
  <c r="K46" i="1"/>
  <c r="J46" i="1"/>
  <c r="L46" i="1" s="1"/>
  <c r="I46" i="1"/>
  <c r="K45" i="1"/>
  <c r="L45" i="1" s="1"/>
  <c r="J45" i="1"/>
  <c r="I45" i="1"/>
  <c r="L44" i="1"/>
  <c r="J44" i="1"/>
  <c r="I44" i="1"/>
  <c r="F44" i="1"/>
  <c r="K44" i="1" s="1"/>
  <c r="I43" i="1"/>
  <c r="F43" i="1"/>
  <c r="J43" i="1" s="1"/>
  <c r="K42" i="1"/>
  <c r="J42" i="1"/>
  <c r="L42" i="1" s="1"/>
  <c r="I42" i="1"/>
  <c r="K41" i="1"/>
  <c r="J41" i="1"/>
  <c r="L41" i="1" s="1"/>
  <c r="I41" i="1"/>
  <c r="K40" i="1"/>
  <c r="J40" i="1"/>
  <c r="L40" i="1" s="1"/>
  <c r="I40" i="1"/>
  <c r="F40" i="1"/>
  <c r="L39" i="1"/>
  <c r="J39" i="1"/>
  <c r="I39" i="1"/>
  <c r="F39" i="1"/>
  <c r="K39" i="1" s="1"/>
  <c r="I38" i="1"/>
  <c r="F38" i="1"/>
  <c r="J38" i="1" s="1"/>
  <c r="K37" i="1"/>
  <c r="J37" i="1"/>
  <c r="L37" i="1" s="1"/>
  <c r="I37" i="1"/>
  <c r="K36" i="1"/>
  <c r="J36" i="1"/>
  <c r="L36" i="1" s="1"/>
  <c r="I36" i="1"/>
  <c r="K35" i="1"/>
  <c r="J35" i="1"/>
  <c r="I35" i="1"/>
  <c r="K34" i="1"/>
  <c r="L34" i="1" s="1"/>
  <c r="J34" i="1"/>
  <c r="I34" i="1"/>
  <c r="K31" i="1"/>
  <c r="J31" i="1"/>
  <c r="I31" i="1"/>
  <c r="L31" i="1" s="1"/>
  <c r="L30" i="1"/>
  <c r="K30" i="1"/>
  <c r="J30" i="1"/>
  <c r="I30" i="1"/>
  <c r="L29" i="1"/>
  <c r="K29" i="1"/>
  <c r="J29" i="1"/>
  <c r="I29" i="1"/>
  <c r="L28" i="1"/>
  <c r="K28" i="1"/>
  <c r="J28" i="1"/>
  <c r="I28" i="1"/>
  <c r="K27" i="1"/>
  <c r="J27" i="1"/>
  <c r="I27" i="1"/>
  <c r="L27" i="1" s="1"/>
  <c r="L26" i="1"/>
  <c r="K26" i="1"/>
  <c r="J26" i="1"/>
  <c r="I26" i="1"/>
  <c r="K25" i="1"/>
  <c r="J25" i="1"/>
  <c r="I25" i="1"/>
  <c r="L25" i="1" s="1"/>
  <c r="L24" i="1"/>
  <c r="K24" i="1"/>
  <c r="J24" i="1"/>
  <c r="I24" i="1"/>
  <c r="L23" i="1"/>
  <c r="K23" i="1"/>
  <c r="J23" i="1"/>
  <c r="I23" i="1"/>
  <c r="L22" i="1"/>
  <c r="K22" i="1"/>
  <c r="J22" i="1"/>
  <c r="I22" i="1"/>
  <c r="K21" i="1"/>
  <c r="J21" i="1"/>
  <c r="I21" i="1"/>
  <c r="L21" i="1" s="1"/>
  <c r="L19" i="1" s="1"/>
  <c r="L20" i="1"/>
  <c r="K20" i="1"/>
  <c r="J20" i="1"/>
  <c r="I20" i="1"/>
  <c r="L17" i="1"/>
  <c r="K17" i="1"/>
  <c r="J17" i="1"/>
  <c r="I17" i="1"/>
  <c r="K16" i="1"/>
  <c r="J16" i="1"/>
  <c r="L16" i="1" s="1"/>
  <c r="I16" i="1"/>
  <c r="K15" i="1"/>
  <c r="K14" i="1" s="1"/>
  <c r="J15" i="1"/>
  <c r="I15" i="1"/>
  <c r="I14" i="1"/>
  <c r="M219" i="1" l="1"/>
  <c r="M168" i="1"/>
  <c r="M160" i="1"/>
  <c r="M151" i="1"/>
  <c r="M135" i="1"/>
  <c r="M131" i="1"/>
  <c r="M123" i="1"/>
  <c r="M115" i="1"/>
  <c r="M107" i="1"/>
  <c r="M77" i="1"/>
  <c r="M206" i="1"/>
  <c r="M86" i="1"/>
  <c r="M37" i="1"/>
  <c r="M27" i="1"/>
  <c r="M25" i="1"/>
  <c r="M21" i="1"/>
  <c r="M231" i="1"/>
  <c r="M223" i="1"/>
  <c r="M202" i="1"/>
  <c r="M198" i="1"/>
  <c r="M187" i="1"/>
  <c r="M179" i="1"/>
  <c r="M139" i="1"/>
  <c r="M62" i="1"/>
  <c r="M16" i="1"/>
  <c r="M421" i="1"/>
  <c r="M291" i="1"/>
  <c r="M227" i="1"/>
  <c r="M205" i="1"/>
  <c r="M201" i="1"/>
  <c r="M197" i="1"/>
  <c r="M172" i="1"/>
  <c r="M164" i="1"/>
  <c r="M143" i="1"/>
  <c r="M127" i="1"/>
  <c r="M119" i="1"/>
  <c r="M111" i="1"/>
  <c r="M89" i="1"/>
  <c r="M81" i="1"/>
  <c r="M73" i="1"/>
  <c r="M301" i="1"/>
  <c r="M192" i="1"/>
  <c r="M183" i="1"/>
  <c r="M147" i="1"/>
  <c r="M47" i="1"/>
  <c r="M66" i="1"/>
  <c r="M113" i="1"/>
  <c r="M121" i="1"/>
  <c r="M138" i="1"/>
  <c r="M148" i="1"/>
  <c r="M154" i="1"/>
  <c r="M166" i="1"/>
  <c r="M184" i="1"/>
  <c r="M193" i="1"/>
  <c r="M211" i="1"/>
  <c r="M232" i="1"/>
  <c r="M234" i="1"/>
  <c r="M365" i="1"/>
  <c r="M376" i="1"/>
  <c r="M424" i="1"/>
  <c r="M427" i="1"/>
  <c r="M36" i="1"/>
  <c r="M42" i="1"/>
  <c r="M46" i="1"/>
  <c r="M60" i="1"/>
  <c r="M65" i="1"/>
  <c r="M74" i="1"/>
  <c r="M82" i="1"/>
  <c r="M94" i="1"/>
  <c r="M96" i="1"/>
  <c r="M104" i="1"/>
  <c r="M112" i="1"/>
  <c r="M120" i="1"/>
  <c r="M128" i="1"/>
  <c r="M134" i="1"/>
  <c r="M144" i="1"/>
  <c r="M150" i="1"/>
  <c r="M165" i="1"/>
  <c r="M173" i="1"/>
  <c r="M181" i="1"/>
  <c r="M189" i="1"/>
  <c r="M228" i="1"/>
  <c r="M249" i="1"/>
  <c r="M292" i="1"/>
  <c r="M326" i="1"/>
  <c r="M403" i="1"/>
  <c r="M418" i="1"/>
  <c r="M422" i="1"/>
  <c r="M39" i="1"/>
  <c r="M58" i="1"/>
  <c r="M75" i="1"/>
  <c r="M110" i="1"/>
  <c r="M129" i="1"/>
  <c r="M20" i="1"/>
  <c r="M22" i="1"/>
  <c r="M24" i="1"/>
  <c r="M26" i="1"/>
  <c r="M29" i="1"/>
  <c r="M41" i="1"/>
  <c r="M59" i="1"/>
  <c r="M87" i="1"/>
  <c r="M93" i="1"/>
  <c r="M100" i="1"/>
  <c r="M117" i="1"/>
  <c r="M125" i="1"/>
  <c r="M162" i="1"/>
  <c r="M44" i="1"/>
  <c r="M61" i="1"/>
  <c r="M105" i="1"/>
  <c r="M118" i="1"/>
  <c r="M126" i="1"/>
  <c r="M17" i="1"/>
  <c r="M23" i="1"/>
  <c r="M28" i="1"/>
  <c r="M54" i="1"/>
  <c r="M63" i="1"/>
  <c r="M79" i="1"/>
  <c r="M95" i="1"/>
  <c r="M98" i="1"/>
  <c r="M109" i="1"/>
  <c r="M133" i="1"/>
  <c r="M140" i="1"/>
  <c r="M146" i="1"/>
  <c r="M170" i="1"/>
  <c r="M180" i="1"/>
  <c r="M188" i="1"/>
  <c r="M195" i="1"/>
  <c r="M199" i="1"/>
  <c r="M203" i="1"/>
  <c r="M207" i="1"/>
  <c r="M210" i="1"/>
  <c r="M214" i="1"/>
  <c r="M224" i="1"/>
  <c r="M240" i="1"/>
  <c r="M265" i="1"/>
  <c r="M270" i="1"/>
  <c r="M40" i="1"/>
  <c r="M45" i="1"/>
  <c r="M51" i="1"/>
  <c r="M53" i="1"/>
  <c r="M70" i="1"/>
  <c r="M78" i="1"/>
  <c r="M97" i="1"/>
  <c r="M99" i="1"/>
  <c r="M108" i="1"/>
  <c r="M116" i="1"/>
  <c r="M124" i="1"/>
  <c r="M132" i="1"/>
  <c r="M136" i="1"/>
  <c r="M142" i="1"/>
  <c r="M152" i="1"/>
  <c r="M161" i="1"/>
  <c r="M169" i="1"/>
  <c r="M176" i="1"/>
  <c r="M177" i="1"/>
  <c r="M185" i="1"/>
  <c r="M194" i="1"/>
  <c r="M209" i="1"/>
  <c r="M212" i="1"/>
  <c r="M213" i="1"/>
  <c r="M220" i="1"/>
  <c r="M233" i="1"/>
  <c r="M239" i="1"/>
  <c r="M333" i="1"/>
  <c r="L15" i="1"/>
  <c r="J14" i="1"/>
  <c r="L35" i="1"/>
  <c r="M35" i="1" s="1"/>
  <c r="J33" i="1"/>
  <c r="L49" i="1"/>
  <c r="L57" i="1"/>
  <c r="J56" i="1"/>
  <c r="L71" i="1"/>
  <c r="M71" i="1" s="1"/>
  <c r="L360" i="1"/>
  <c r="M360" i="1" s="1"/>
  <c r="J358" i="1"/>
  <c r="J19" i="1"/>
  <c r="M34" i="1"/>
  <c r="K43" i="1"/>
  <c r="L43" i="1" s="1"/>
  <c r="M43" i="1" s="1"/>
  <c r="M50" i="1"/>
  <c r="K56" i="1"/>
  <c r="K156" i="1"/>
  <c r="L158" i="1"/>
  <c r="L175" i="1"/>
  <c r="M175" i="1" s="1"/>
  <c r="J156" i="1"/>
  <c r="K245" i="1"/>
  <c r="J245" i="1"/>
  <c r="L342" i="1"/>
  <c r="J341" i="1"/>
  <c r="L309" i="1"/>
  <c r="M309" i="1" s="1"/>
  <c r="M300" i="1" s="1"/>
  <c r="J300" i="1"/>
  <c r="K19" i="1"/>
  <c r="K38" i="1"/>
  <c r="J91" i="1"/>
  <c r="L106" i="1"/>
  <c r="M106" i="1" s="1"/>
  <c r="L114" i="1"/>
  <c r="M114" i="1" s="1"/>
  <c r="L122" i="1"/>
  <c r="M122" i="1" s="1"/>
  <c r="L130" i="1"/>
  <c r="M130" i="1" s="1"/>
  <c r="M431" i="1"/>
  <c r="M433" i="1"/>
  <c r="M434" i="1"/>
  <c r="M432" i="1"/>
  <c r="M412" i="1"/>
  <c r="M327" i="1"/>
  <c r="M260" i="1"/>
  <c r="M404" i="1"/>
  <c r="M390" i="1"/>
  <c r="M369" i="1"/>
  <c r="M361" i="1"/>
  <c r="M343" i="1"/>
  <c r="M313" i="1"/>
  <c r="M272" i="1"/>
  <c r="M268" i="1"/>
  <c r="M30" i="1"/>
  <c r="M19" i="1" s="1"/>
  <c r="M31" i="1"/>
  <c r="L69" i="1"/>
  <c r="J68" i="1"/>
  <c r="L85" i="1"/>
  <c r="J84" i="1"/>
  <c r="M137" i="1"/>
  <c r="M141" i="1"/>
  <c r="M145" i="1"/>
  <c r="M149" i="1"/>
  <c r="M153" i="1"/>
  <c r="K241" i="1"/>
  <c r="K236" i="1" s="1"/>
  <c r="K243" i="1"/>
  <c r="J243" i="1"/>
  <c r="M246" i="1"/>
  <c r="M252" i="1"/>
  <c r="M267" i="1"/>
  <c r="M269" i="1"/>
  <c r="M280" i="1"/>
  <c r="M318" i="1"/>
  <c r="K329" i="1"/>
  <c r="M331" i="1"/>
  <c r="M332" i="1"/>
  <c r="M339" i="1"/>
  <c r="M371" i="1"/>
  <c r="M379" i="1"/>
  <c r="M394" i="1"/>
  <c r="M397" i="1"/>
  <c r="L52" i="1"/>
  <c r="M52" i="1" s="1"/>
  <c r="L64" i="1"/>
  <c r="M64" i="1" s="1"/>
  <c r="L72" i="1"/>
  <c r="M72" i="1" s="1"/>
  <c r="L76" i="1"/>
  <c r="M76" i="1" s="1"/>
  <c r="L80" i="1"/>
  <c r="M80" i="1" s="1"/>
  <c r="K84" i="1"/>
  <c r="L88" i="1"/>
  <c r="M88" i="1" s="1"/>
  <c r="L92" i="1"/>
  <c r="L103" i="1"/>
  <c r="J102" i="1"/>
  <c r="L196" i="1"/>
  <c r="M196" i="1" s="1"/>
  <c r="L200" i="1"/>
  <c r="M200" i="1" s="1"/>
  <c r="L204" i="1"/>
  <c r="M204" i="1" s="1"/>
  <c r="L216" i="1"/>
  <c r="M216" i="1" s="1"/>
  <c r="L221" i="1"/>
  <c r="M221" i="1" s="1"/>
  <c r="L225" i="1"/>
  <c r="M225" i="1" s="1"/>
  <c r="L229" i="1"/>
  <c r="M229" i="1" s="1"/>
  <c r="M244" i="1"/>
  <c r="K250" i="1"/>
  <c r="J250" i="1"/>
  <c r="L250" i="1" s="1"/>
  <c r="M250" i="1" s="1"/>
  <c r="M271" i="1"/>
  <c r="L285" i="1"/>
  <c r="M285" i="1" s="1"/>
  <c r="J282" i="1"/>
  <c r="M337" i="1"/>
  <c r="M352" i="1"/>
  <c r="M353" i="1"/>
  <c r="M355" i="1"/>
  <c r="M356" i="1"/>
  <c r="M368" i="1"/>
  <c r="M373" i="1"/>
  <c r="L159" i="1"/>
  <c r="M159" i="1" s="1"/>
  <c r="L163" i="1"/>
  <c r="M163" i="1" s="1"/>
  <c r="L167" i="1"/>
  <c r="M167" i="1" s="1"/>
  <c r="L171" i="1"/>
  <c r="M171" i="1" s="1"/>
  <c r="L178" i="1"/>
  <c r="M178" i="1" s="1"/>
  <c r="L182" i="1"/>
  <c r="M182" i="1" s="1"/>
  <c r="L186" i="1"/>
  <c r="M186" i="1" s="1"/>
  <c r="L190" i="1"/>
  <c r="M190" i="1" s="1"/>
  <c r="M215" i="1"/>
  <c r="M218" i="1"/>
  <c r="M222" i="1"/>
  <c r="M226" i="1"/>
  <c r="M230" i="1"/>
  <c r="L238" i="1"/>
  <c r="M242" i="1"/>
  <c r="K248" i="1"/>
  <c r="J248" i="1"/>
  <c r="M251" i="1"/>
  <c r="M253" i="1"/>
  <c r="M259" i="1"/>
  <c r="M266" i="1"/>
  <c r="M295" i="1"/>
  <c r="M296" i="1"/>
  <c r="M314" i="1"/>
  <c r="M319" i="1"/>
  <c r="M321" i="1"/>
  <c r="M322" i="1"/>
  <c r="M335" i="1"/>
  <c r="M336" i="1"/>
  <c r="M345" i="1"/>
  <c r="M363" i="1"/>
  <c r="M385" i="1"/>
  <c r="M388" i="1"/>
  <c r="L258" i="1"/>
  <c r="J257" i="1"/>
  <c r="K276" i="1"/>
  <c r="J276" i="1"/>
  <c r="L276" i="1" s="1"/>
  <c r="M276" i="1" s="1"/>
  <c r="K278" i="1"/>
  <c r="K274" i="1" s="1"/>
  <c r="J278" i="1"/>
  <c r="M284" i="1"/>
  <c r="L288" i="1"/>
  <c r="M289" i="1"/>
  <c r="M293" i="1"/>
  <c r="M297" i="1"/>
  <c r="L325" i="1"/>
  <c r="J324" i="1"/>
  <c r="K341" i="1"/>
  <c r="M344" i="1"/>
  <c r="L348" i="1"/>
  <c r="M349" i="1"/>
  <c r="M350" i="1"/>
  <c r="M362" i="1"/>
  <c r="M370" i="1"/>
  <c r="M387" i="1"/>
  <c r="M391" i="1"/>
  <c r="M393" i="1"/>
  <c r="M396" i="1"/>
  <c r="M402" i="1"/>
  <c r="M408" i="1"/>
  <c r="M411" i="1"/>
  <c r="M426" i="1"/>
  <c r="K255" i="1"/>
  <c r="J255" i="1"/>
  <c r="M290" i="1"/>
  <c r="M294" i="1"/>
  <c r="M298" i="1"/>
  <c r="L317" i="1"/>
  <c r="J316" i="1"/>
  <c r="M346" i="1"/>
  <c r="M351" i="1"/>
  <c r="K358" i="1"/>
  <c r="L359" i="1"/>
  <c r="M364" i="1"/>
  <c r="M367" i="1"/>
  <c r="M372" i="1"/>
  <c r="M375" i="1"/>
  <c r="M378" i="1"/>
  <c r="M395" i="1"/>
  <c r="K399" i="1"/>
  <c r="J399" i="1"/>
  <c r="M401" i="1"/>
  <c r="M405" i="1"/>
  <c r="M407" i="1"/>
  <c r="M410" i="1"/>
  <c r="M417" i="1"/>
  <c r="M420" i="1"/>
  <c r="M437" i="1"/>
  <c r="L254" i="1"/>
  <c r="M254" i="1" s="1"/>
  <c r="M261" i="1"/>
  <c r="L264" i="1"/>
  <c r="J263" i="1"/>
  <c r="L275" i="1"/>
  <c r="L277" i="1"/>
  <c r="M277" i="1" s="1"/>
  <c r="L279" i="1"/>
  <c r="M279" i="1" s="1"/>
  <c r="M283" i="1"/>
  <c r="M282" i="1" s="1"/>
  <c r="L300" i="1"/>
  <c r="K316" i="1"/>
  <c r="L320" i="1"/>
  <c r="M320" i="1" s="1"/>
  <c r="L330" i="1"/>
  <c r="J329" i="1"/>
  <c r="L334" i="1"/>
  <c r="M334" i="1" s="1"/>
  <c r="M338" i="1"/>
  <c r="M354" i="1"/>
  <c r="M366" i="1"/>
  <c r="M374" i="1"/>
  <c r="M377" i="1"/>
  <c r="M380" i="1"/>
  <c r="K382" i="1"/>
  <c r="M386" i="1"/>
  <c r="M389" i="1"/>
  <c r="M409" i="1"/>
  <c r="M413" i="1"/>
  <c r="M416" i="1"/>
  <c r="M419" i="1"/>
  <c r="M425" i="1"/>
  <c r="M428" i="1"/>
  <c r="M439" i="1"/>
  <c r="H37" i="2"/>
  <c r="J69" i="2"/>
  <c r="L384" i="1"/>
  <c r="L392" i="1"/>
  <c r="M392" i="1" s="1"/>
  <c r="L406" i="1"/>
  <c r="M406" i="1" s="1"/>
  <c r="L414" i="1"/>
  <c r="M414" i="1" s="1"/>
  <c r="L423" i="1"/>
  <c r="M423" i="1" s="1"/>
  <c r="J436" i="1"/>
  <c r="L438" i="1"/>
  <c r="M438" i="1" s="1"/>
  <c r="J25" i="2"/>
  <c r="J400" i="1"/>
  <c r="L400" i="1" s="1"/>
  <c r="M400" i="1" s="1"/>
  <c r="I14" i="2"/>
  <c r="I18" i="2" s="1"/>
  <c r="H14" i="2"/>
  <c r="H18" i="2" s="1"/>
  <c r="I46" i="2"/>
  <c r="C16" i="3" l="1"/>
  <c r="N19" i="1"/>
  <c r="C32" i="3"/>
  <c r="N300" i="1"/>
  <c r="L91" i="1"/>
  <c r="M92" i="1"/>
  <c r="M91" i="1" s="1"/>
  <c r="C29" i="3"/>
  <c r="N282" i="1"/>
  <c r="M275" i="1"/>
  <c r="L274" i="1"/>
  <c r="M325" i="1"/>
  <c r="M324" i="1" s="1"/>
  <c r="L324" i="1"/>
  <c r="L241" i="1"/>
  <c r="M241" i="1" s="1"/>
  <c r="L38" i="1"/>
  <c r="K33" i="1"/>
  <c r="M15" i="1"/>
  <c r="M14" i="1" s="1"/>
  <c r="L14" i="1"/>
  <c r="L282" i="1"/>
  <c r="M436" i="1"/>
  <c r="L399" i="1"/>
  <c r="M399" i="1" s="1"/>
  <c r="L358" i="1"/>
  <c r="M359" i="1"/>
  <c r="M358" i="1" s="1"/>
  <c r="L248" i="1"/>
  <c r="M248" i="1" s="1"/>
  <c r="J236" i="1"/>
  <c r="J274" i="1"/>
  <c r="L243" i="1"/>
  <c r="M243" i="1" s="1"/>
  <c r="M430" i="1"/>
  <c r="M342" i="1"/>
  <c r="M341" i="1" s="1"/>
  <c r="L341" i="1"/>
  <c r="M49" i="1"/>
  <c r="L382" i="1"/>
  <c r="M384" i="1"/>
  <c r="M382" i="1" s="1"/>
  <c r="M348" i="1"/>
  <c r="M288" i="1"/>
  <c r="M258" i="1"/>
  <c r="M257" i="1" s="1"/>
  <c r="L257" i="1"/>
  <c r="M330" i="1"/>
  <c r="M329" i="1" s="1"/>
  <c r="L329" i="1"/>
  <c r="L68" i="1"/>
  <c r="M69" i="1"/>
  <c r="M68" i="1" s="1"/>
  <c r="J382" i="1"/>
  <c r="M264" i="1"/>
  <c r="M263" i="1" s="1"/>
  <c r="L263" i="1"/>
  <c r="L436" i="1"/>
  <c r="M317" i="1"/>
  <c r="M316" i="1" s="1"/>
  <c r="L316" i="1"/>
  <c r="L255" i="1"/>
  <c r="M255" i="1" s="1"/>
  <c r="L278" i="1"/>
  <c r="M278" i="1" s="1"/>
  <c r="M238" i="1"/>
  <c r="M103" i="1"/>
  <c r="M102" i="1" s="1"/>
  <c r="L102" i="1"/>
  <c r="L84" i="1"/>
  <c r="M85" i="1"/>
  <c r="M84" i="1" s="1"/>
  <c r="L245" i="1"/>
  <c r="M245" i="1" s="1"/>
  <c r="L156" i="1"/>
  <c r="M158" i="1"/>
  <c r="M156" i="1" s="1"/>
  <c r="M57" i="1"/>
  <c r="M56" i="1" s="1"/>
  <c r="L56" i="1"/>
  <c r="C23" i="3" l="1"/>
  <c r="N102" i="1"/>
  <c r="N257" i="1"/>
  <c r="C26" i="3"/>
  <c r="C40" i="3"/>
  <c r="N430" i="1"/>
  <c r="C41" i="3"/>
  <c r="N436" i="1"/>
  <c r="C34" i="3"/>
  <c r="N324" i="1"/>
  <c r="N32" i="3"/>
  <c r="F32" i="3"/>
  <c r="T32" i="3"/>
  <c r="L32" i="3"/>
  <c r="R32" i="3"/>
  <c r="P32" i="3"/>
  <c r="J32" i="3"/>
  <c r="H32" i="3"/>
  <c r="C24" i="3"/>
  <c r="N156" i="1"/>
  <c r="L236" i="1"/>
  <c r="C33" i="3"/>
  <c r="N316" i="1"/>
  <c r="C35" i="3"/>
  <c r="N329" i="1"/>
  <c r="C37" i="3"/>
  <c r="N348" i="1"/>
  <c r="M274" i="1"/>
  <c r="C22" i="3"/>
  <c r="N91" i="1"/>
  <c r="N29" i="3"/>
  <c r="F29" i="3"/>
  <c r="T29" i="3"/>
  <c r="L29" i="3"/>
  <c r="J29" i="3"/>
  <c r="H29" i="3"/>
  <c r="R29" i="3"/>
  <c r="P29" i="3"/>
  <c r="C19" i="3"/>
  <c r="N56" i="1"/>
  <c r="C21" i="3"/>
  <c r="N84" i="1"/>
  <c r="M236" i="1"/>
  <c r="C27" i="3"/>
  <c r="N263" i="1"/>
  <c r="C31" i="3"/>
  <c r="N288" i="1"/>
  <c r="C18" i="3"/>
  <c r="N49" i="1"/>
  <c r="C38" i="3"/>
  <c r="N358" i="1"/>
  <c r="M38" i="1"/>
  <c r="M33" i="1" s="1"/>
  <c r="L33" i="1"/>
  <c r="C20" i="3"/>
  <c r="N68" i="1"/>
  <c r="N382" i="1"/>
  <c r="C39" i="3"/>
  <c r="C36" i="3"/>
  <c r="N341" i="1"/>
  <c r="C15" i="3"/>
  <c r="N14" i="1"/>
  <c r="R16" i="3"/>
  <c r="J16" i="3"/>
  <c r="P16" i="3"/>
  <c r="H16" i="3"/>
  <c r="N16" i="3"/>
  <c r="F16" i="3"/>
  <c r="T16" i="3"/>
  <c r="L16" i="3"/>
  <c r="C25" i="3" l="1"/>
  <c r="N236" i="1"/>
  <c r="N36" i="3"/>
  <c r="F36" i="3"/>
  <c r="T36" i="3"/>
  <c r="L36" i="3"/>
  <c r="R36" i="3"/>
  <c r="P36" i="3"/>
  <c r="J36" i="3"/>
  <c r="H36" i="3"/>
  <c r="T20" i="3"/>
  <c r="L20" i="3"/>
  <c r="P20" i="3"/>
  <c r="F20" i="3"/>
  <c r="N20" i="3"/>
  <c r="J20" i="3"/>
  <c r="R20" i="3"/>
  <c r="H20" i="3"/>
  <c r="N38" i="3"/>
  <c r="F38" i="3"/>
  <c r="T38" i="3"/>
  <c r="L38" i="3"/>
  <c r="J38" i="3"/>
  <c r="H38" i="3"/>
  <c r="R38" i="3"/>
  <c r="P38" i="3"/>
  <c r="N31" i="3"/>
  <c r="F31" i="3"/>
  <c r="T31" i="3"/>
  <c r="L31" i="3"/>
  <c r="P31" i="3"/>
  <c r="J31" i="3"/>
  <c r="H31" i="3"/>
  <c r="R31" i="3"/>
  <c r="T24" i="3"/>
  <c r="L24" i="3"/>
  <c r="P24" i="3"/>
  <c r="F24" i="3"/>
  <c r="N24" i="3"/>
  <c r="J24" i="3"/>
  <c r="R24" i="3"/>
  <c r="H24" i="3"/>
  <c r="T26" i="3"/>
  <c r="L26" i="3"/>
  <c r="J26" i="3"/>
  <c r="R26" i="3"/>
  <c r="H26" i="3"/>
  <c r="P26" i="3"/>
  <c r="F26" i="3"/>
  <c r="N26" i="3"/>
  <c r="N39" i="3"/>
  <c r="F39" i="3"/>
  <c r="T39" i="3"/>
  <c r="L39" i="3"/>
  <c r="P39" i="3"/>
  <c r="J39" i="3"/>
  <c r="H39" i="3"/>
  <c r="R39" i="3"/>
  <c r="T21" i="3"/>
  <c r="L21" i="3"/>
  <c r="N21" i="3"/>
  <c r="J21" i="3"/>
  <c r="R21" i="3"/>
  <c r="H21" i="3"/>
  <c r="P21" i="3"/>
  <c r="F21" i="3"/>
  <c r="N37" i="3"/>
  <c r="F37" i="3"/>
  <c r="T37" i="3"/>
  <c r="L37" i="3"/>
  <c r="H37" i="3"/>
  <c r="R37" i="3"/>
  <c r="P37" i="3"/>
  <c r="J37" i="3"/>
  <c r="N33" i="3"/>
  <c r="F33" i="3"/>
  <c r="T33" i="3"/>
  <c r="L33" i="3"/>
  <c r="H33" i="3"/>
  <c r="R33" i="3"/>
  <c r="P33" i="3"/>
  <c r="J33" i="3"/>
  <c r="N41" i="3"/>
  <c r="F41" i="3"/>
  <c r="T41" i="3"/>
  <c r="L41" i="3"/>
  <c r="H41" i="3"/>
  <c r="R41" i="3"/>
  <c r="P41" i="3"/>
  <c r="J41" i="3"/>
  <c r="R15" i="3"/>
  <c r="J15" i="3"/>
  <c r="P15" i="3"/>
  <c r="H15" i="3"/>
  <c r="N15" i="3"/>
  <c r="F15" i="3"/>
  <c r="T15" i="3"/>
  <c r="L15" i="3"/>
  <c r="C17" i="3"/>
  <c r="N33" i="1"/>
  <c r="M7" i="1" s="1"/>
  <c r="M6" i="1" s="1"/>
  <c r="T18" i="3"/>
  <c r="L18" i="3"/>
  <c r="J18" i="3"/>
  <c r="R18" i="3"/>
  <c r="H18" i="3"/>
  <c r="P18" i="3"/>
  <c r="F18" i="3"/>
  <c r="N18" i="3"/>
  <c r="T27" i="3"/>
  <c r="L27" i="3"/>
  <c r="R27" i="3"/>
  <c r="H27" i="3"/>
  <c r="P27" i="3"/>
  <c r="F27" i="3"/>
  <c r="N27" i="3"/>
  <c r="J27" i="3"/>
  <c r="T22" i="3"/>
  <c r="L22" i="3"/>
  <c r="J22" i="3"/>
  <c r="R22" i="3"/>
  <c r="H22" i="3"/>
  <c r="P22" i="3"/>
  <c r="F22" i="3"/>
  <c r="N22" i="3"/>
  <c r="T19" i="3"/>
  <c r="L19" i="3"/>
  <c r="R19" i="3"/>
  <c r="H19" i="3"/>
  <c r="P19" i="3"/>
  <c r="F19" i="3"/>
  <c r="N19" i="3"/>
  <c r="J19" i="3"/>
  <c r="C28" i="3"/>
  <c r="N274" i="1"/>
  <c r="N35" i="3"/>
  <c r="F35" i="3"/>
  <c r="T35" i="3"/>
  <c r="L35" i="3"/>
  <c r="P35" i="3"/>
  <c r="J35" i="3"/>
  <c r="H35" i="3"/>
  <c r="R35" i="3"/>
  <c r="N34" i="3"/>
  <c r="F34" i="3"/>
  <c r="T34" i="3"/>
  <c r="L34" i="3"/>
  <c r="J34" i="3"/>
  <c r="H34" i="3"/>
  <c r="R34" i="3"/>
  <c r="P34" i="3"/>
  <c r="N40" i="3"/>
  <c r="F40" i="3"/>
  <c r="T40" i="3"/>
  <c r="L40" i="3"/>
  <c r="R40" i="3"/>
  <c r="P40" i="3"/>
  <c r="J40" i="3"/>
  <c r="H40" i="3"/>
  <c r="T23" i="3"/>
  <c r="L23" i="3"/>
  <c r="R23" i="3"/>
  <c r="H23" i="3"/>
  <c r="P23" i="3"/>
  <c r="F23" i="3"/>
  <c r="N23" i="3"/>
  <c r="J23" i="3"/>
  <c r="T17" i="3" l="1"/>
  <c r="L17" i="3"/>
  <c r="N17" i="3"/>
  <c r="M44" i="3" s="1"/>
  <c r="M45" i="3" s="1"/>
  <c r="J17" i="3"/>
  <c r="R17" i="3"/>
  <c r="H17" i="3"/>
  <c r="H42" i="3" s="1"/>
  <c r="P17" i="3"/>
  <c r="F17" i="3"/>
  <c r="C42" i="3"/>
  <c r="D25" i="3" s="1"/>
  <c r="T25" i="3"/>
  <c r="L25" i="3"/>
  <c r="K44" i="3" s="1"/>
  <c r="K45" i="3" s="1"/>
  <c r="N25" i="3"/>
  <c r="J25" i="3"/>
  <c r="R25" i="3"/>
  <c r="H25" i="3"/>
  <c r="P25" i="3"/>
  <c r="F25" i="3"/>
  <c r="J42" i="3"/>
  <c r="N28" i="3"/>
  <c r="F28" i="3"/>
  <c r="T28" i="3"/>
  <c r="S44" i="3" s="1"/>
  <c r="S45" i="3" s="1"/>
  <c r="L28" i="3"/>
  <c r="H28" i="3"/>
  <c r="R28" i="3"/>
  <c r="P28" i="3"/>
  <c r="J28" i="3"/>
  <c r="Q44" i="3"/>
  <c r="Q45" i="3" s="1"/>
  <c r="G44" i="3"/>
  <c r="G45" i="3" s="1"/>
  <c r="D17" i="3" l="1"/>
  <c r="O44" i="3"/>
  <c r="O45" i="3" s="1"/>
  <c r="L42" i="3"/>
  <c r="R42" i="3"/>
  <c r="F42" i="3"/>
  <c r="I44" i="3"/>
  <c r="I45" i="3" s="1"/>
  <c r="D28" i="3"/>
  <c r="E42" i="3"/>
  <c r="P42" i="3"/>
  <c r="G42" i="3"/>
  <c r="N42" i="3"/>
  <c r="E44" i="3"/>
  <c r="D42" i="3"/>
  <c r="D32" i="3"/>
  <c r="D29" i="3"/>
  <c r="D16" i="3"/>
  <c r="D20" i="3"/>
  <c r="D31" i="3"/>
  <c r="D26" i="3"/>
  <c r="D39" i="3"/>
  <c r="D41" i="3"/>
  <c r="D27" i="3"/>
  <c r="D34" i="3"/>
  <c r="D23" i="3"/>
  <c r="D36" i="3"/>
  <c r="D22" i="3"/>
  <c r="D40" i="3"/>
  <c r="D37" i="3"/>
  <c r="D15" i="3"/>
  <c r="D19" i="3"/>
  <c r="D38" i="3"/>
  <c r="D24" i="3"/>
  <c r="D21" i="3"/>
  <c r="D33" i="3"/>
  <c r="D18" i="3"/>
  <c r="D35" i="3"/>
  <c r="I42" i="3"/>
  <c r="T42" i="3"/>
  <c r="S42" i="3" s="1"/>
  <c r="Q42" i="3" l="1"/>
  <c r="O42" i="3"/>
  <c r="E46" i="3"/>
  <c r="G46" i="3" s="1"/>
  <c r="I46" i="3" s="1"/>
  <c r="K46" i="3" s="1"/>
  <c r="M46" i="3" s="1"/>
  <c r="O46" i="3" s="1"/>
  <c r="Q46" i="3" s="1"/>
  <c r="S46" i="3" s="1"/>
  <c r="E45" i="3"/>
  <c r="E47" i="3" s="1"/>
  <c r="G47" i="3" s="1"/>
  <c r="I47" i="3" s="1"/>
  <c r="K47" i="3" s="1"/>
  <c r="M47" i="3" s="1"/>
  <c r="O47" i="3" s="1"/>
  <c r="Q47" i="3" s="1"/>
  <c r="S47" i="3" s="1"/>
  <c r="K42" i="3"/>
  <c r="U42" i="3" s="1"/>
  <c r="M42" i="3"/>
</calcChain>
</file>

<file path=xl/sharedStrings.xml><?xml version="1.0" encoding="utf-8"?>
<sst xmlns="http://schemas.openxmlformats.org/spreadsheetml/2006/main" count="2241" uniqueCount="1204">
  <si>
    <t>(INSERIR LOGOTIPO DA EMPRESA)</t>
  </si>
  <si>
    <t>INSERIR NOME DA EMPRESA</t>
  </si>
  <si>
    <t>(INSERIR CNPJ DA EMPRESA)</t>
  </si>
  <si>
    <t>BDI</t>
  </si>
  <si>
    <t>OBRA : ADEQUAÇÃO PARA ESPAÇO DE INOVAÇÃO NO CLM</t>
  </si>
  <si>
    <t>Local:  Campus Luiz Meneghel, Bandeirantes, PR</t>
  </si>
  <si>
    <t>Total S/BDI</t>
  </si>
  <si>
    <t>Total c/BDI</t>
  </si>
  <si>
    <t>← Proposta</t>
  </si>
  <si>
    <t>(INSERIR NOME DO RESPONSÁVEL TÉCNICO PELA PROPOSTA)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</si>
  <si>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</si>
  <si>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</si>
  <si>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</si>
  <si>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</si>
  <si>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</si>
  <si>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</si>
  <si>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</si>
  <si>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</si>
  <si>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</si>
  <si>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</si>
  <si>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</si>
  <si>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</si>
  <si>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</si>
  <si>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PRÉDIO CENTRAL</t>
  </si>
  <si>
    <t>1</t>
  </si>
  <si>
    <t>SERVIÇOS PRELIMINARES</t>
  </si>
  <si>
    <t>1.1</t>
  </si>
  <si>
    <t>PLACA DE OBRA</t>
  </si>
  <si>
    <t>4813</t>
  </si>
  <si>
    <t>PLACA DE OBRA (PARA CONSTRUCAO CIVIL) EM CHAPA GALVANIZADA *N. 22*, ADESIVADA, DE *2,4 X 1,2* M (SEM POSTES PARA FIXACAO)</t>
  </si>
  <si>
    <t>M²</t>
  </si>
  <si>
    <t>1.2</t>
  </si>
  <si>
    <t>CONTAINER PARA ALMOXARIFADO</t>
  </si>
  <si>
    <t>10776</t>
  </si>
  <si>
    <t>LOCACAO DE CONTAINER 2,30  X  6,00 M, ALT. 2,50 M</t>
  </si>
  <si>
    <t>MÊS</t>
  </si>
  <si>
    <t>1.3</t>
  </si>
  <si>
    <t>LONAS PARA PROTEÇÕES DIVERSAS</t>
  </si>
  <si>
    <t>97113</t>
  </si>
  <si>
    <t>LONA PLASTICA EXTRA FORTE PRETA, E = 200 MICRA</t>
  </si>
  <si>
    <t>2</t>
  </si>
  <si>
    <t>DEMOLIÇÕES E RETIRADAS</t>
  </si>
  <si>
    <t>2.1</t>
  </si>
  <si>
    <t>REMOÇÃO DE PORTAS</t>
  </si>
  <si>
    <t>97644</t>
  </si>
  <si>
    <t>REMOÇÃO DE PORTAS, DE FORMA MANUAL, SEM REAPROVEITAMENTO. AF_12/2017</t>
  </si>
  <si>
    <t>m²</t>
  </si>
  <si>
    <t>2.2</t>
  </si>
  <si>
    <t>REMOÇÃO DE JANELAS</t>
  </si>
  <si>
    <t>97645</t>
  </si>
  <si>
    <t>REMOÇÃO DE JANELAS, DE FORMA MANUAL, SEM REAPROVEITAMENTO. AF_12/2017</t>
  </si>
  <si>
    <t>2.3</t>
  </si>
  <si>
    <t>DEMOLIÇÃO DE PISO TACO E CERÂMICO</t>
  </si>
  <si>
    <t>97643</t>
  </si>
  <si>
    <t>REMOÇÃO DE PISO DE MADEIRA (ASSOALHO E BARROTE), DE FORMA MANUAL, SEM REAPROVEITAMENTO. AF_12/2017</t>
  </si>
  <si>
    <t>2.4</t>
  </si>
  <si>
    <t>DEMOLIÇÃO DE REVESTIMENTO CERÂMICO - PAREDES DO LABORATÓRIO</t>
  </si>
  <si>
    <t>97634</t>
  </si>
  <si>
    <t>DEMOLIÇÃO DE REVESTIMENTO CERÂMICO, DE FORMA MECANIZADA COM MARTELETE, SEM REAPROVEITAMENTO. AF_12/2017</t>
  </si>
  <si>
    <t>2.5</t>
  </si>
  <si>
    <t>DEMOLIÇÃO DE ALVENARIAS - ABERTURA DE PASSAGENS/PORTAS</t>
  </si>
  <si>
    <t>97621</t>
  </si>
  <si>
    <t>DEMOLIÇÃO DE ALVENARIA DE BLOCO FURADO, DE FORMA MANUAL, COM REAPROVEITAMENTO. AF_12/2017</t>
  </si>
  <si>
    <t>m³</t>
  </si>
  <si>
    <t>2.6</t>
  </si>
  <si>
    <t xml:space="preserve">DEMOLIÇÃO DE BANCADAS - APOIOS </t>
  </si>
  <si>
    <t>2.7</t>
  </si>
  <si>
    <t>DEMOLIÇÃO DE ALVENARIAS - CASA DE GÁS</t>
  </si>
  <si>
    <t>2.8</t>
  </si>
  <si>
    <t>DEMOLIÇÃO DE BANCADAS - LAJES</t>
  </si>
  <si>
    <t>97628</t>
  </si>
  <si>
    <t>DEMOLIÇÃO DE LAJES, DE FORMA MANUAL, SEM REAPROVEITAMENTO. AF_12/2017</t>
  </si>
  <si>
    <t>2.9</t>
  </si>
  <si>
    <t xml:space="preserve">DESLIGAMENTO E REMOÇÃO DE FIOS E TOMADAS </t>
  </si>
  <si>
    <t>97660</t>
  </si>
  <si>
    <t>REMOÇÃO DE INTERRUPTORES/TOMADAS ELÉTRICAS, DE FORMA MANUAL, SEM REAPROVEITAMENTO. AF_12/2017</t>
  </si>
  <si>
    <t>un</t>
  </si>
  <si>
    <t>2.10</t>
  </si>
  <si>
    <t xml:space="preserve">DESLIGAMENTO E REMOÇÃO DE ELETRODUTOS, FIOS E TOMADAS </t>
  </si>
  <si>
    <t>97661</t>
  </si>
  <si>
    <t>REMOÇÃO DE CABOS ELÉTRICOS, DE FORMA MANUAL, SEM REAPROVEITAMENTO. AF_12/2017</t>
  </si>
  <si>
    <t>m</t>
  </si>
  <si>
    <t>2.11</t>
  </si>
  <si>
    <t>DESLIGAMENTO E REMOÇÃO DE TUBULAÇÕES: GÁS, ÁGUA, ESGOTO</t>
  </si>
  <si>
    <t>97662</t>
  </si>
  <si>
    <t>REMOÇÃO DE TUBULAÇÕES (TUBOS E CONEXÕES) DE ÁGUA FRIA, DE FORMA MANUAL, SEM REAPROVEITAMENTO. AF_12/2017</t>
  </si>
  <si>
    <t>2.12</t>
  </si>
  <si>
    <t>97631</t>
  </si>
  <si>
    <t>DEMOLIÇÃO DE ARGAMASSAS, DE FORMA MANUAL, SEM REAPROVEITAMENTO. AF_12/2017</t>
  </si>
  <si>
    <t>3</t>
  </si>
  <si>
    <t>CONSTRUÇÕES E REGULARIZAÇÕES</t>
  </si>
  <si>
    <t>3.1</t>
  </si>
  <si>
    <t>REGULARIZAÇÃO DO CONTRAPISO EXISTENTE</t>
  </si>
  <si>
    <t>87299</t>
  </si>
  <si>
    <t>ARGAMASSA TRAÇO 1:3 (EM VOLUME DE CIMENTO E AREIA MÉDIA ÚMIDA) PARA CONTRAPISO, PREPARO MECÂNICO COM BETONEIRA 600 L. AF_08/2019</t>
  </si>
  <si>
    <t>3.2</t>
  </si>
  <si>
    <t>REGULARIZAÇÃO DA PAREDE - LABORATÓRIO</t>
  </si>
  <si>
    <t>87879</t>
  </si>
  <si>
    <t>CHAPISCO APLICADO EM ALVENARIAS E ESTRUTURAS DE CONCRETO INTERNAS, COM COLHER DE PEDREIRO.  ARGAMASSA TRAÇO 1:3 COM PREPARO EM BETONEIRA 400L. AF_06/2014</t>
  </si>
  <si>
    <t>3.3</t>
  </si>
  <si>
    <t>87531</t>
  </si>
  <si>
    <t>EMBOÇO, PARA RECEBIMENTO DE CERÂMICA, EM ARGAMASSA TRAÇO 1:2:8, PREPARO MECÂNICO COM BETONEIRA 400L, APLICADO MANUALMENTE EM FACES INTERNAS DE PAREDES, PARA AMBIENTE COM ÁREA ENTRE 5M2 E 10M2, ESPESSURA DE 20MM, COM EXECUÇÃO DE TALISCAS. AF_06/2014</t>
  </si>
  <si>
    <t>3.4</t>
  </si>
  <si>
    <t>FECHAMENTO DE PORTAS E JANELAS</t>
  </si>
  <si>
    <t>103334</t>
  </si>
  <si>
    <t>ALVENARIA DE VEDAÇÃO DE BLOCOS CERÂMICOS FURADOS NA HORIZONTAL DE 14X9X19 CM (ESPESSURA 14 CM, BLOCO DEITADO) E ARGAMASSA DE ASSENTAMENTO COM PREPARO EM BETONEIRA. AF_12/2021</t>
  </si>
  <si>
    <t>3.5</t>
  </si>
  <si>
    <t>3.6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</si>
  <si>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</si>
  <si>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</si>
  <si>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3.7</t>
  </si>
  <si>
    <t>88495</t>
  </si>
  <si>
    <t xml:space="preserve">APLICAÇÃO E LIXAMENTO DE MASSA LÁTEX EM PAREDES, UMA DEMÃO. AF_06/2014
</t>
  </si>
  <si>
    <t>3.8</t>
  </si>
  <si>
    <t>REQUADRO DE PASSAGENS</t>
  </si>
  <si>
    <t>3.9</t>
  </si>
  <si>
    <t>REQUADRO DE PORTAS</t>
  </si>
  <si>
    <t>3.10</t>
  </si>
  <si>
    <t>REQUADRO DE PASSAGENS / PORTAS</t>
  </si>
  <si>
    <t>3.11</t>
  </si>
  <si>
    <t>3.12</t>
  </si>
  <si>
    <t>VERGAS</t>
  </si>
  <si>
    <t>93186</t>
  </si>
  <si>
    <t>VERGA MOLDADA IN LOCO EM CONCRETO PARA JANELAS COM ATÉ 1,5 M DE VÃO. AF_03/2016</t>
  </si>
  <si>
    <t>3.13</t>
  </si>
  <si>
    <t>ISOLAMENTO GERAL DE INSTALAÇÕES REMOVIDAS</t>
  </si>
  <si>
    <t>3.14</t>
  </si>
  <si>
    <t>4</t>
  </si>
  <si>
    <t>DIVISÓRIAS E FORRO</t>
  </si>
  <si>
    <t>4.1</t>
  </si>
  <si>
    <t>PAREDES DRYWALL</t>
  </si>
  <si>
    <t>96359</t>
  </si>
  <si>
    <t>PAREDE COM PLACAS DE GESSO ACARTONADO (DRYWALL), PARA USO INTERNO, COM DUAS FACES SIMPLES E ESTRUTURA METÁLICA COM GUIAS SIMPLES, COM VÃOS AF_06/2017_P</t>
  </si>
  <si>
    <t>4.2</t>
  </si>
  <si>
    <t>ISOLAMENTO - DRYWALL</t>
  </si>
  <si>
    <t>07704/
ORSE</t>
  </si>
  <si>
    <t>MANTA EM LÃ DE ROCHA DE 25MM - FORNECIMENTO E APLICAÇÃO</t>
  </si>
  <si>
    <t>4.3</t>
  </si>
  <si>
    <t>ACABAMENTO DRYWALL</t>
  </si>
  <si>
    <t>APLICAÇÃO E LIXAMENTO DE MASSA LÁTEX EM PAREDES, UMA DEMÃO. AF_06/2014</t>
  </si>
  <si>
    <t>4.4</t>
  </si>
  <si>
    <t>DIVISÓRIA EM GRANILITE - SANITÁRIOS</t>
  </si>
  <si>
    <t>102257</t>
  </si>
  <si>
    <t>DIVISORIA SANITÁRIA, TIPO CABINE, EM PAINEL DE GRANILITE, ESP = 3CM, ASSENTADO COM ARGAMASSA COLANTE AC III-E</t>
  </si>
  <si>
    <t>4.5</t>
  </si>
  <si>
    <t>DIVISÓRIA EM VIDRO - REUNIÕES</t>
  </si>
  <si>
    <t>102235</t>
  </si>
  <si>
    <t>DIVISÓRIA FIXA EM VIDRO TEMPERADO 10 MM, SEM ABERTURA. AF_01/2021</t>
  </si>
  <si>
    <t>5</t>
  </si>
  <si>
    <t>PISOS E REVESTIMENTOS</t>
  </si>
  <si>
    <t>5.1</t>
  </si>
  <si>
    <t>REMOÇÕES, LIMPEZA E NIVELAMENTO</t>
  </si>
  <si>
    <t>98525</t>
  </si>
  <si>
    <t>LIMPEZA MECANIZADA DE CAMADA VEGETAL, VEGETAÇÃO E PEQUENAS ÁRVORES (DIÂMETRO DE TRONCO MENOR QUE 0,20 M), COM TRATOR DE ESTEIRAS.AF_05/2018</t>
  </si>
  <si>
    <t>5.2</t>
  </si>
  <si>
    <t>ATERRO E COMPACTAÇÃO</t>
  </si>
  <si>
    <t>94319</t>
  </si>
  <si>
    <t>ATERRO MANUAL DE VALAS COM SOLO ARGILO-ARENOSO E COMPACTAÇÃO MECANIZADA. AF_05/2016</t>
  </si>
  <si>
    <t>M³</t>
  </si>
  <si>
    <t>5.3</t>
  </si>
  <si>
    <t>CONTRAPISO ARMADO</t>
  </si>
  <si>
    <t>94992</t>
  </si>
  <si>
    <t>PISO DE CONCRETO COM CONCRETO MOLDADO IN LOCO, FEITO EM OBRA, ACABAMENTO CONVENCIONAL, ESPESSURA 6 CM, ARMADO. AF_07/2016</t>
  </si>
  <si>
    <t>5.4</t>
  </si>
  <si>
    <t>CALÇADAS  E=5CM, RAMPA ACESSO</t>
  </si>
  <si>
    <t>94990</t>
  </si>
  <si>
    <t>EXECUÇÃO DE PASSEIO (CALÇADA) OU PISO DE CONCRETO COM CONCRETO MOLDADO IN LOCO, FEITO EM OBRA, ACABAMENTO CONVENCIONAL, NÃO ARMADO. AF_07/2016</t>
  </si>
  <si>
    <t>5.5</t>
  </si>
  <si>
    <t>GUARDA-CORPO RAMPA DE ACESSO</t>
  </si>
  <si>
    <t>SEINFRA C1448</t>
  </si>
  <si>
    <t>GUARDA CORPO DE TUBO DE AÇO INOX</t>
  </si>
  <si>
    <t>M</t>
  </si>
  <si>
    <t>5.6</t>
  </si>
  <si>
    <t>CORRIMÃO - RAMPA DE ACESSO</t>
  </si>
  <si>
    <t>SEINFRA C0924</t>
  </si>
  <si>
    <t>CORRIMÃO EM TUBO DE AÇO INOX</t>
  </si>
  <si>
    <t>5.7</t>
  </si>
  <si>
    <t>PISO EM GRANILITE</t>
  </si>
  <si>
    <t>COMP. 05</t>
  </si>
  <si>
    <t xml:space="preserve">PISO EM GRANILITE </t>
  </si>
  <si>
    <t>5.8</t>
  </si>
  <si>
    <t>PISO CERÂMICO 60X60CM</t>
  </si>
  <si>
    <t>87257</t>
  </si>
  <si>
    <t>REVESTIMENTO CERÂMICO PARA PISO COM PLACAS TIPO ESMALTADA EXTRA DE DIMENSÕES 60X60 CM APLICADA EM AMBIENTES DE ÁREA MAIOR QUE 10 M2. AF_06/2014</t>
  </si>
  <si>
    <t>5.9</t>
  </si>
  <si>
    <t>REVESTIMENTO CERÂMICO - PAREDE DO SANITÁRIO</t>
  </si>
  <si>
    <t>87268</t>
  </si>
  <si>
    <t>REVESTIMENTO CERÂMICO PARA PAREDES INTERNAS COM PLACAS TIPO ESMALTADA EXTRA DE DIMENSÕES 25X35 CM APLICADAS EM AMBIENTES DE ÁREA MENOR QUE 5 M² NA ALTURA INTEIRA DAS PAREDES. AF_06/2014</t>
  </si>
  <si>
    <t>5.10</t>
  </si>
  <si>
    <t>REVESTIMENTO CERÂMICO - RODABANCA DO LABORATÓRIO / COPA</t>
  </si>
  <si>
    <t>6</t>
  </si>
  <si>
    <t>ESQUADRIAS</t>
  </si>
  <si>
    <t>6.1</t>
  </si>
  <si>
    <t xml:space="preserve">JANELA 2,0X1,5m </t>
  </si>
  <si>
    <t>94573</t>
  </si>
  <si>
    <t>JANELA DE ALUMÍNIO DE CORRER COM 4 FOLHAS PARA VIDROS, COM VIDROS, BATENTE, ACABAMENTO COM ACETATO OU BRILHANTE E FERRAGENS. EXCLUSIVE ALIZAR E CONTRAMARCO. FORNECIMENTO E INSTALAÇÃO. AF_12/2019</t>
  </si>
  <si>
    <t>6.2</t>
  </si>
  <si>
    <t xml:space="preserve">JANELA 2,0X0,6m 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</si>
  <si>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</si>
  <si>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</si>
  <si>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6.3</t>
  </si>
  <si>
    <t>JANELA 0,7X0,98m</t>
  </si>
  <si>
    <t>94569</t>
  </si>
  <si>
    <t>JANELA DE ALUMÍNIO TIPO MAXIM-AR, COM VIDROS, BATENTE E FERRAGENS. EXCLUSIVE ALIZAR, ACABAMENTO E CONTRAMARCO. FORNECIMENTO E INSTALAÇÃO. AF_12/2019</t>
  </si>
  <si>
    <t>6.4</t>
  </si>
  <si>
    <t>JANELA 2,0X1,15m</t>
  </si>
  <si>
    <t>6.5</t>
  </si>
  <si>
    <t>JANELA 0,5X0,7m</t>
  </si>
  <si>
    <t>6.6</t>
  </si>
  <si>
    <t>JANELAS FIXAS - PRÉDIO COWORKING</t>
  </si>
  <si>
    <t xml:space="preserve">100674
</t>
  </si>
  <si>
    <t>JANELA FIXA DE ALUMÍNIO PARA VIDRO, COM VIDRO, BATENTE E FERRAGENS. EXCLUSIVE ACABAMENTO, ALIZAR E CONTRAMARCO. FORNECIMENTO E INSTALAÇÃO. AF_12/2019</t>
  </si>
  <si>
    <t>6.7</t>
  </si>
  <si>
    <t>JANELAS FIXAS - INCUBADORAS</t>
  </si>
  <si>
    <t>6.8</t>
  </si>
  <si>
    <t xml:space="preserve">RECOLOCAÇÃO DE PORTAS </t>
  </si>
  <si>
    <t>100699</t>
  </si>
  <si>
    <t>RECOLOCAÇÃO DE FOLHAS DE PORTA DE MADEIRA PESADA OU SUPERPESADA DE 80CM DE LARGURA, CONSIDERANDO REAPROVEITAMENTO DO MATERIAL. AF_12/2019</t>
  </si>
  <si>
    <t>6.9</t>
  </si>
  <si>
    <t>PORTAS DE ALUMINIO - SANITÁRIOS</t>
  </si>
  <si>
    <t>91338</t>
  </si>
  <si>
    <t>PORTA DE ALUMÍNIO DE ABRIR COM LAMBRI, COM GUARNIÇÃO, FIXAÇÃO COM PARAFUSOS - FORNECIMENTO E INSTALAÇÃO. AF_12/2019</t>
  </si>
  <si>
    <t>6.10</t>
  </si>
  <si>
    <t>PORTAS DE MADEIRA 90 CM</t>
  </si>
  <si>
    <t>90797</t>
  </si>
  <si>
    <t>KIT DE PORTA-PRONTA DE MADEIRA EM ACABAMENTO MELAMÍNICO BRANCO, FOLHA LEVE OU MÉDIA, E BATENTE METÁLICO, 90X210CM, FIXAÇÃO COM ARGAMASSA - FORNECIMENTO E INSTALAÇÃO. AF_12/2019</t>
  </si>
  <si>
    <t>6.11</t>
  </si>
  <si>
    <t>PORTAS BLINDEX 90 CM</t>
  </si>
  <si>
    <t>102184</t>
  </si>
  <si>
    <t>(ADAPTADO PARA EXCLUSIVE MOLA HIDRÁULICA)
PORTA DE ABRIR COM MOLA HIDRÁULICA, EM VIDRO TEMPERADO, 90X210 CM, ESPESSURA 10 MM, INCLUSIVE ACESSÓRIOS. AF_01/2021</t>
  </si>
  <si>
    <t>6.12</t>
  </si>
  <si>
    <t>PORTA DE VIDRO</t>
  </si>
  <si>
    <t>100702
ADAPTADO</t>
  </si>
  <si>
    <t>(ADAPTADO PARA UMA FOLHA)
PORTA DE CORRER DE ALUMÍNIO, COM DUAS FOLHAS PARA VIDRO, INCLUSO VIDRO LISO INCOLOR, FECHADURA E PUXADOR, SEM ALIZAR. AF_12/2019(</t>
  </si>
  <si>
    <t>6.13</t>
  </si>
  <si>
    <t>PORTAS DE VIDRO</t>
  </si>
  <si>
    <t>(ADAPTADO PARA QUATRO FOLHAS)
PORTA DE CORRER DE ALUMÍNIO, COM DUAS FOLHAS PARA VIDRO, INCLUSO VIDRO LISO INCOLOR, FECHADURA E PUXADOR, SEM ALIZAR. AF_12/2019(</t>
  </si>
  <si>
    <t>6.14</t>
  </si>
  <si>
    <t>FECHADURAS</t>
  </si>
  <si>
    <t>91306</t>
  </si>
  <si>
    <t>FECHADURA DE EMBUTIR PARA PORTAS INTERNAS, COMPLETA, ACABAMENTO PADRÃO MÉDIO, COM EXECUÇÃO DE FURO - FORNECIMENTO E INSTALAÇÃO. AF_12/2019</t>
  </si>
  <si>
    <t>7</t>
  </si>
  <si>
    <t>PINTURAS</t>
  </si>
  <si>
    <t>7.1</t>
  </si>
  <si>
    <t xml:space="preserve">FUNDO PARA PINTURA </t>
  </si>
  <si>
    <t>88411</t>
  </si>
  <si>
    <t>APLICAÇÃO MANUAL DE FUNDO SELADOR ACRÍLICO EM PANOS COM PRESENÇA DE VÃOS DE EDIFÍCIOS DE MÚLTIPLOS PAVIMENTOS. AF_06/2014</t>
  </si>
  <si>
    <t>7.2</t>
  </si>
  <si>
    <t>PINTURA - INTERNA</t>
  </si>
  <si>
    <t>88489</t>
  </si>
  <si>
    <t>APLICAÇÃO MANUAL DE PINTURA COM TINTA LÁTEX ACRÍLICA EM PAREDES, DUAS DEMÃOS. AF_06/2014</t>
  </si>
  <si>
    <t>7.3</t>
  </si>
  <si>
    <t>PINTURA - EXTERNA</t>
  </si>
  <si>
    <t>7.4</t>
  </si>
  <si>
    <t>PINTURA TETO</t>
  </si>
  <si>
    <t>88484</t>
  </si>
  <si>
    <t>APLICAÇÃO DE FUNDO SELADOR ACRÍLICO EM TETO, UMA DEMÃO. AF_06/2014</t>
  </si>
  <si>
    <t>7.5</t>
  </si>
  <si>
    <t>88488</t>
  </si>
  <si>
    <t>APLICAÇÃO MANUAL DE PINTURA COM TINTA LÁTEX ACRÍLICA EM TETO, DUAS DEMÃOS. AF_06/2014</t>
  </si>
  <si>
    <t>8</t>
  </si>
  <si>
    <t>BANCADAS</t>
  </si>
  <si>
    <t>8.1</t>
  </si>
  <si>
    <t>ALVENARIA - BASE DAS BANCADAS NO LABORATÓRIO</t>
  </si>
  <si>
    <t xml:space="preserve">ALVENARIA DE VEDAÇÃO DE BLOCOS CERÂMICOS MACIÇOS DE 5X10X20CM (ESPESSURA 10CM) E ARGAMASSA DE ASSENTAMENTO COM PREPARO EM BETONEIRA. </t>
  </si>
  <si>
    <t>8.2</t>
  </si>
  <si>
    <t>ALVENARIA - BASE DAS BANCADAS DA COPA</t>
  </si>
  <si>
    <t>8.3</t>
  </si>
  <si>
    <t>CHAPISCO DAS BASES DAS BANCADA - TODOS OS PILARES</t>
  </si>
  <si>
    <t>CHAPISCO APLICADO EM ALVENARIAS E ESTRUTURAS DE CONCRETO INTERNAS, COM COLHER DE PEDREIRO.  ARGAMASSA TRAÇO 1:3 COM PREPARO EM BETONEIRA 400L.</t>
  </si>
  <si>
    <t>8.4</t>
  </si>
  <si>
    <t>MASSA ÚNICA APLICADA NAS BASES DAS BANCADA - TODOS OS PILARES (56 PILARES)</t>
  </si>
  <si>
    <t xml:space="preserve">EMBOÇO OU MASSA ÚNICA EM ARGAMASSA TRAÇO 1:2:8, PREPARO MANUAL, APLICADA MANUALMENTE EM PANOS CEGOS DE FACHADA (SEM PRESENÇA DE VÃOS), ESPESSURA DE 25 MM. </t>
  </si>
  <si>
    <t>8.5</t>
  </si>
  <si>
    <t>FUNDO PARA PINTURA - ÁREA TOTAL DAS BASES DAS BANCADAS</t>
  </si>
  <si>
    <t>88412</t>
  </si>
  <si>
    <t>APLICAÇÃO MANUAL DE FUNDO SELADOR ACRÍLICO EM PANOS CEGOS DE FACHADA (SEM PRESENÇA DE VÃOS) DE EDIFÍCIOS DE MÚLTIPLOS PAVIMENTOS. AF_06/2014</t>
  </si>
  <si>
    <t>8.6</t>
  </si>
  <si>
    <t>PINTURA - ÁREA TOTAL DAS BASES DAS BANCADAS</t>
  </si>
  <si>
    <t>8.7</t>
  </si>
  <si>
    <t>RODAPÉS DAS BASES DAS BANCADAS h=15CM</t>
  </si>
  <si>
    <t>8.8</t>
  </si>
  <si>
    <t>LAJE – TAMPO DA BANCADA</t>
  </si>
  <si>
    <t xml:space="preserve">101964
</t>
  </si>
  <si>
    <t xml:space="preserve">LAJE PRÉ-MOLDADA UNIDIRECIONAL, BIAPOIADA, PARA FORRO, ENCHIMENTO EM CERÂMICA, VIGOTA CONVENCIONAL, ALTURA TOTAL DA LAJE (ENCHIMENTO+CAPA) = (8+3). AF_11/2020
</t>
  </si>
  <si>
    <t>8.9</t>
  </si>
  <si>
    <t>REVESTIMENTO EM GRANITO PARA BANCADAS</t>
  </si>
  <si>
    <t>COMP. 04</t>
  </si>
  <si>
    <t>GRANITO PARA BANCADA, POLIDO, TIPO ANDORINHA/ QUARTZ/ CASTELO/ CORUMBA OU OUTROS EQUIVALENTES DA REGIAO, E=  *2,5* CM</t>
  </si>
  <si>
    <t>9</t>
  </si>
  <si>
    <t>INST. ELÉTRICA</t>
  </si>
  <si>
    <t>9.1</t>
  </si>
  <si>
    <t>CABOS</t>
  </si>
  <si>
    <t>91924</t>
  </si>
  <si>
    <t>CABO DE COBRE FLEXÍVEL ISOLADO, 1,5 MM², ANTI-CHAMA 450/750 V, PARA CIRCUITOS TERMINAIS - FORNECIMENTO E INSTALAÇÃO. AF_12/2015</t>
  </si>
  <si>
    <t>9.2</t>
  </si>
  <si>
    <t>91926</t>
  </si>
  <si>
    <t>CABO DE COBRE FLEXÍVEL ISOLADO, 2,5 MM², ANTI-CHAMA 450/750 V, PARA CIRCUITOS TERMINAIS - FORNECIMENTO E INSTALAÇÃO. AF_12/2015</t>
  </si>
  <si>
    <t>9.3</t>
  </si>
  <si>
    <t>91928</t>
  </si>
  <si>
    <t>CABO DE COBRE FLEXÍVEL ISOLADO, 4 MM², ANTI-CHAMA 450/750 V, PARA CIRCUITOS TERMINAIS - FORNECIMENTO E INSTALAÇÃO. AF_12/2015</t>
  </si>
  <si>
    <t>9.4</t>
  </si>
  <si>
    <t>91930</t>
  </si>
  <si>
    <t>CABO DE COBRE FLEXÍVEL ISOLADO, 6 MM², ANTI-CHAMA 450/750 V, PARA CIRCUITOS TERMINAIS - FORNECIMENTO E INSTALAÇÃO. AF_12/2015</t>
  </si>
  <si>
    <t>9.5</t>
  </si>
  <si>
    <t>91932</t>
  </si>
  <si>
    <t>CABO DE COBRE FLEXÍVEL ISOLADO, 10 MM², ANTI-CHAMA 450/750 V, PARA CIRCUITOS TERMINAIS - FORNECIMENTO E INSTALAÇÃO. AF_12/2015</t>
  </si>
  <si>
    <t>9.6</t>
  </si>
  <si>
    <t>91934</t>
  </si>
  <si>
    <t>CABO DE COBRE FLEXÍVEL ISOLADO, 16 MM², ANTI-CHAMA 450/750 V, PARA CIRCUITOS TERMINAIS - FORNECIMENTO E INSTALAÇÃO. AF_12/2015</t>
  </si>
  <si>
    <t>9.7</t>
  </si>
  <si>
    <t>92984</t>
  </si>
  <si>
    <t>CABO DE COBRE FLEXÍVEL ISOLADO, 25 MM², ANTI-CHAMA 0,6/1,0 KV, PARA REDE ENTERRADA DE DISTRIBUIÇÃO DE ENERGIA ELÉTRICA - FORNECIMENTO E INSTALAÇÃO. AF_12/2021</t>
  </si>
  <si>
    <t>9.8</t>
  </si>
  <si>
    <t>92986</t>
  </si>
  <si>
    <t>CABO DE COBRE FLEXÍVEL ISOLADO, 35 MM², ANTI-CHAMA 0,6/1,0 KV, PARA REDE ENTERRADA DE DISTRIBUIÇÃO DE ENERGIA ELÉTRICA - FORNECIMENTO E INSTALAÇÃO. AF_12/2021</t>
  </si>
  <si>
    <t>9.9</t>
  </si>
  <si>
    <t>92988</t>
  </si>
  <si>
    <t>CABO DE COBRE FLEXÍVEL ISOLADO, 50 MM², ANTI-CHAMA 0,6/1,0 KV, PARA REDE ENTERRADA DE DISTRIBUIÇÃO DE ENERGIA ELÉTRICA - FORNECIMENTO E INSTALAÇÃO. AF_12/2021</t>
  </si>
  <si>
    <t>9.10</t>
  </si>
  <si>
    <t>92990</t>
  </si>
  <si>
    <t>CABO DE COBRE FLEXÍVEL ISOLADO, 70 MM², ANTI-CHAMA 0,6/1,0 KV, PARA REDE ENTERRADA DE DISTRIBUIÇÃO DE ENERGIA ELÉTRICA - FORNECIMENTO E INSTALAÇÃO. AF_12/2021</t>
  </si>
  <si>
    <t>9.11</t>
  </si>
  <si>
    <t>92992</t>
  </si>
  <si>
    <t>CABO DE COBRE FLEXÍVEL ISOLADO, 95 MM², ANTI-CHAMA 0,6/1,0 KV, PARA REDE ENTERRADA DE DISTRIBUIÇÃO DE ENERGIA ELÉTRICA - FORNECIMENTO E INSTALAÇÃO. AF_12/2021</t>
  </si>
  <si>
    <t>9.12</t>
  </si>
  <si>
    <t>INTERRUPTOR SIMPLES</t>
  </si>
  <si>
    <t>91953</t>
  </si>
  <si>
    <t>INTERRUPTOR SIMPLES (1 MÓDULO), 10A/250V, INCLUINDO SUPORTE E PLACA - FORNECIMENTO E INSTALAÇÃO. AF_12/2015</t>
  </si>
  <si>
    <t>9.13</t>
  </si>
  <si>
    <t>INTERRUPTOR SIMPLES COM TOMADA</t>
  </si>
  <si>
    <t>92023</t>
  </si>
  <si>
    <t>INTERRUPTOR SIMPLES (1 MÓDULO) COM 1 TOMADA DE EMBUTIR 2P+T 10 A, INCLUINDO SUPORTE E PLACA - FORNECIMENTO E INSTALAÇÃO. AF_12/2015</t>
  </si>
  <si>
    <t>9.14</t>
  </si>
  <si>
    <t>INTERRUPTOR TRIPLO COM TOMADA</t>
  </si>
  <si>
    <t>92027 ADAP</t>
  </si>
  <si>
    <t>INTERRUPTOR SIMPLES (3 MÓDULOS) COM 1 TOMADA DE EMBUTIR 2P+T 10 A, INCLUINDO SUPORTE E PLACA - FORNECIMENTO E INSTALAÇÃO. AF_12/2015</t>
  </si>
  <si>
    <t>9.15</t>
  </si>
  <si>
    <t>TOMADAS 2 MOD</t>
  </si>
  <si>
    <t>92004</t>
  </si>
  <si>
    <t>TOMADA MÉDIA DE EMBUTIR (2 MÓDULOS), 2P+T 10 A, INCLUINDO SUPORTE E PLACA - FORNECIMENTO E INSTALAÇÃO. AF_12/2015</t>
  </si>
  <si>
    <t>9.16</t>
  </si>
  <si>
    <t>TOMADAS 1 MOD</t>
  </si>
  <si>
    <t>91996</t>
  </si>
  <si>
    <t>TOMADA MÉDIA DE EMBUTIR (1 MÓDULO), 2P+T 10 A, INCLUINDO SUPORTE E PLACA - FORNECIMENTO E INSTALAÇÃO. AF_12/2015</t>
  </si>
  <si>
    <t>9.17</t>
  </si>
  <si>
    <t>EXTENSOR TOMADA CARRETEL RETRÁTIL DE TETO</t>
  </si>
  <si>
    <t>COT.001</t>
  </si>
  <si>
    <t>Carretel Retrátil Elétrico Giratório com cabo de 10m</t>
  </si>
  <si>
    <t>9.18</t>
  </si>
  <si>
    <t>CONDULETE TOMADAS/INTERRUPTORES  - ALUMÍNIO COM TAMPA</t>
  </si>
  <si>
    <t>95779</t>
  </si>
  <si>
    <t>CONDULETE DE ALUMÍNIO, TIPO E, PARA ELETRODUTO DE AÇO GALVANIZADO DN 20 MM (3/4''), APARENTE - FORNECIMENTO E INSTALAÇÃO. AF_11/2016_P</t>
  </si>
  <si>
    <t>9.19</t>
  </si>
  <si>
    <t>TOMADA CONDULETE ALUMÍNIO COM TAMPA CEGA PARA AR CONDICIONADO</t>
  </si>
  <si>
    <t>9.20</t>
  </si>
  <si>
    <t>CAIXA DE PASSAGEM METÁLICA COM TAMPA PARAFUSADA</t>
  </si>
  <si>
    <t>100556</t>
  </si>
  <si>
    <t>CAIXA DE PASSAGEM METALICA, DE SOBREPOR, COM TAMPA APARAFUSADA, DIMENSOES 15 X 15 X *10* CM</t>
  </si>
  <si>
    <t>9.21</t>
  </si>
  <si>
    <t>ELETROCALHA 100X75(3M)</t>
  </si>
  <si>
    <t>08696/ORSE</t>
  </si>
  <si>
    <t>Fornecimento e instalação de eletrocalha perfurada 100 x 75 x 3000 mm (ref. mopa ou similar)</t>
  </si>
  <si>
    <t>9.22</t>
  </si>
  <si>
    <t>SUPORTE ELETROCALHA CORREDORES - MÃO FRANCESA</t>
  </si>
  <si>
    <t>96562</t>
  </si>
  <si>
    <t>SUPORTE PARA ELETROCALHA LISA OU PERFURADA EM AÇO GALVANIZADO, ESPAÇADO A CADA 1,5 M, POR METRO DE ELETRECALHA FIXADA.</t>
  </si>
  <si>
    <t>9.23</t>
  </si>
  <si>
    <t>SUPORTE ELETROCALHA COWORKING/RECEPÇÃO - VERTICAL</t>
  </si>
  <si>
    <t>07384/ORSE</t>
  </si>
  <si>
    <t>Fixação de eletrocalhas com vergalhão (Tirante) com rosca total ø 1/4"x1000mm (marvitec ref. 1431 ou similar)</t>
  </si>
  <si>
    <t>9.24</t>
  </si>
  <si>
    <t xml:space="preserve">ACESSÓRIOS ELETROCALHAS </t>
  </si>
  <si>
    <t>11830/ORSE</t>
  </si>
  <si>
    <t>Cruzeta 100 x 100 mm para eletrocalha perfurada metálica (ref.: mopa ou similar)</t>
  </si>
  <si>
    <t>9.25</t>
  </si>
  <si>
    <t>ACESSÓRIOS ELETROCALHAS - CURVAS, EMENDAS, DERIVAÇÕES T</t>
  </si>
  <si>
    <t>08688/ORSE</t>
  </si>
  <si>
    <t>ADAP - Curva horizontal 100 x 100 mm para eletrocalha metálica, com ângulo 90° (ref.: mopa ou similar)</t>
  </si>
  <si>
    <t>9.26</t>
  </si>
  <si>
    <t>ELETRODUTO FLEX  1/2" ou 3/4" - sobre laje</t>
  </si>
  <si>
    <t>91834</t>
  </si>
  <si>
    <t>ELETRODUTO FLEXÍVEL CORRUGADO, PVC, DN 25 MM (3/4"), PARA CIRCUITOS TERMINAIS, INSTALADO EM FORRO - FORNECIMENTO E INSTALAÇÃO. AF_12/2015</t>
  </si>
  <si>
    <t>9.27</t>
  </si>
  <si>
    <t xml:space="preserve">ELETRODUTO FLEX  1" ou 1.1/2" </t>
  </si>
  <si>
    <t>ELETRODUTO FLEXÍVEL CORRUGADO, PEAD, DN 50 (1 ½)  - FORNECIMENTO E INSTALAÇÃO. AF_04/2016</t>
  </si>
  <si>
    <t>9.28</t>
  </si>
  <si>
    <t>ELETRODUTO AÇO 3/4" + ACESSÓRIOS</t>
  </si>
  <si>
    <t>95749</t>
  </si>
  <si>
    <t>ELETRODUTO DE AÇO GALVANIZADO, CLASSE LEVE, DN 20 MM (3/4), APARENTE, INSTALADO EM PAREDE - FORNECIMENTO E INSTALAÇÃO. AF_11/2016_P</t>
  </si>
  <si>
    <t>9.29</t>
  </si>
  <si>
    <t>ELETRODUTO AÇO 1" + ACESSÓRIOS</t>
  </si>
  <si>
    <t>95746</t>
  </si>
  <si>
    <t>ELETRODUTO DE AÇO GALVANIZADO, CLASSE LEVE, DN 25 MM (1), APARENTE, INSTALADO EM TETO - FORNECIMENTO E INSTALAÇÃO. AF_11/2016_P</t>
  </si>
  <si>
    <t>9.30</t>
  </si>
  <si>
    <t>ELETRODUTO AÇO 1.1/2" A 2" + ACESSÓRIOS</t>
  </si>
  <si>
    <t>95752</t>
  </si>
  <si>
    <t>ELETRODUTO DE AÇO GALVANIZADO, CLASSE SEMI PESADO, DN 40 MM (1 1/2 ), APARENTE, INSTALADO EM PAREDE - FORNECIMENTO E INSTALAÇÃO. AF_11/2016_P</t>
  </si>
  <si>
    <t>9.31</t>
  </si>
  <si>
    <t>LUMINÁRIAS - CALHA 2XLED</t>
  </si>
  <si>
    <t>97592 adap</t>
  </si>
  <si>
    <t xml:space="preserve">LUMINÁRIA CALHA TUBULAR LED SOBREPOR SLIM 36W 6500K 120 CM </t>
  </si>
  <si>
    <t>9.32</t>
  </si>
  <si>
    <t>ILUMINAÇÃO EXTERNA  - REFLETORES</t>
  </si>
  <si>
    <t>13148/ORSE</t>
  </si>
  <si>
    <t>LUMINARIA LED REFLETOR RETANGULAR BIVOLT, LUZ BRANCA, 100 W</t>
  </si>
  <si>
    <t>9.33</t>
  </si>
  <si>
    <t>LUMINÁRIA PENDENTE RECEPÇÃO</t>
  </si>
  <si>
    <t>07715/ORSE</t>
  </si>
  <si>
    <t>Luminária pendente referência: Lustre Pendente Cônico Madeira Branco Laca</t>
  </si>
  <si>
    <t>9.34</t>
  </si>
  <si>
    <t>TRILHO SPOT LED</t>
  </si>
  <si>
    <t>ORSE</t>
  </si>
  <si>
    <t>TRILHO ELETRIFICADO PARA EXPOSIÇÃO COM LÂMPADAS LED PAR20 7W EM LUMINÁRIA SPOT DIRECIONÁVEL A CADA 50CM</t>
  </si>
  <si>
    <t>9.35</t>
  </si>
  <si>
    <t>DISJ. 1X10A</t>
  </si>
  <si>
    <t>93653</t>
  </si>
  <si>
    <t>DISJUNTOR MONOPOLAR TIPO DIN, CORRENTE NOMINAL DE 10A - FORNECIMENTO E INSTALAÇÃO. AF_10/2020</t>
  </si>
  <si>
    <t>9.36</t>
  </si>
  <si>
    <t>DISJ. 1X16A</t>
  </si>
  <si>
    <t>93654</t>
  </si>
  <si>
    <t>DISJUNTOR MONOPOLAR TIPO DIN, CORRENTE NOMINAL DE 16A - FORNECIMENTO E INSTALAÇÃO. AF_10/2020</t>
  </si>
  <si>
    <t>9.37</t>
  </si>
  <si>
    <t>DISJ. 1X25A</t>
  </si>
  <si>
    <t>93656</t>
  </si>
  <si>
    <t>DISJUNTOR MONOPOLAR TIPO DIN, CORRENTE NOMINAL DE 25A - FORNECIMENTO E INSTALAÇÃO. AF_10/2020</t>
  </si>
  <si>
    <t>9.38</t>
  </si>
  <si>
    <t>DISJ. 2X10A</t>
  </si>
  <si>
    <t>93660</t>
  </si>
  <si>
    <t>DISJUNTOR BIPOLAR TIPO DIN, CORRENTE NOMINAL DE 10A - FORNECIMENTO E INSTALAÇÃO. AF_10/2020</t>
  </si>
  <si>
    <t>9.39</t>
  </si>
  <si>
    <t>DISJ. 2X16A</t>
  </si>
  <si>
    <t>93662</t>
  </si>
  <si>
    <t>DISJUNTOR BIPOLAR TIPO DIN, CORRENTE NOMINAL DE 16A - FORNECIMENTO E INSTALAÇÃO. AF_10/2020</t>
  </si>
  <si>
    <t>9.40</t>
  </si>
  <si>
    <t>DISJ. 2X20A</t>
  </si>
  <si>
    <t>DISJUNTOR BIPOLAR TIPO DIN, CORRENTE NOMINAL DE 20A - FORNECIMENTO E INSTALAÇÃO. AF_10/2020</t>
  </si>
  <si>
    <t>9.41</t>
  </si>
  <si>
    <t>DISJ. 2X32A</t>
  </si>
  <si>
    <t>93664</t>
  </si>
  <si>
    <t>DISJUNTOR BIPOLAR TIPO DIN, CORRENTE NOMINAL DE 32A - FORNECIMENTO E INSTALAÇÃO. AF_10/2020</t>
  </si>
  <si>
    <t>9.42</t>
  </si>
  <si>
    <t>DISJ. 2X40A</t>
  </si>
  <si>
    <t>93665</t>
  </si>
  <si>
    <t>DISJUNTOR BIPOLAR TIPO DIN, CORRENTE NOMINAL DE 40A - FORNECIMENTO E INSTALAÇÃO. AF_10/2020</t>
  </si>
  <si>
    <t>9.43</t>
  </si>
  <si>
    <t>DISJ. 3X40A</t>
  </si>
  <si>
    <t>101893</t>
  </si>
  <si>
    <t>DISJUNTOR TRIPOLAR TIPO NEMA, CORRENTE NOMINAL DE 10 ATÉ 50A - FORNECIMENTO E INSTALAÇÃO. AF_10/2020</t>
  </si>
  <si>
    <t>9.44</t>
  </si>
  <si>
    <t>DISJ. 3X63A</t>
  </si>
  <si>
    <t>101894</t>
  </si>
  <si>
    <t>DISJUNTOR TRIPOLAR TIPO NEMA, CORRENTE NOMINAL DE 60 ATÉ 100A - FORNECIMENTO E INSTALAÇÃO. AF_10/2020</t>
  </si>
  <si>
    <t>9.45</t>
  </si>
  <si>
    <t>DISJ. 3X70A</t>
  </si>
  <si>
    <t>9.46</t>
  </si>
  <si>
    <t>DISJ. 3X225A</t>
  </si>
  <si>
    <t>09686/ORSE</t>
  </si>
  <si>
    <t>Disjuntor termomagnético tripolar 225 A com caixa moldada 10 kA</t>
  </si>
  <si>
    <t>9.47</t>
  </si>
  <si>
    <t>DISJ. DDR LABORATÓRIO</t>
  </si>
  <si>
    <t>39448</t>
  </si>
  <si>
    <t>DISPOSITIVO DR, 2 POLOS, SENSIBILIDADE DE 30 MA, CORRENTE DE 80 A, TIPO AC</t>
  </si>
  <si>
    <t>9.48</t>
  </si>
  <si>
    <t>QUADRO DISTRIBUIÇÃO SOBREPOR</t>
  </si>
  <si>
    <t>101879</t>
  </si>
  <si>
    <t>QUADRO DE DISTRIBUIÇÃO DE ENERGIA EM CHAPA DE AÇO GALVANIZADO, DE SOBREPOR, COM BARRAMENTO TRIFÁSICO, PARA 24 DISJUNTORES DIN 100A - FORNECIMENTO E INSTALAÇÃO. AF_10/2020</t>
  </si>
  <si>
    <t>9.49</t>
  </si>
  <si>
    <t>ATERRAMENTO LAB</t>
  </si>
  <si>
    <t>98111</t>
  </si>
  <si>
    <t>CAIXA DE INSPEÇÃO PARA ATERRAMENTO, CIRCULAR, EM POLIETILENO, DIÂMETRO INTERNO = 0,3 M. AF_12/2020</t>
  </si>
  <si>
    <t>9.50</t>
  </si>
  <si>
    <t>96986</t>
  </si>
  <si>
    <t>3,0 METROS - HASTE DE ATERRAMENTO 3/4 PARA SPDA - FORNECIMENTO E INSTALAÇÃO. AF_12/2017</t>
  </si>
  <si>
    <t>9.51</t>
  </si>
  <si>
    <t>ATERRAMENTO GERAL</t>
  </si>
  <si>
    <t>9.52</t>
  </si>
  <si>
    <t>10</t>
  </si>
  <si>
    <t>INST. HIDROSSANITÁRIAS E GÁS</t>
  </si>
  <si>
    <t>10.1</t>
  </si>
  <si>
    <t>ÁGUA FRIA</t>
  </si>
  <si>
    <t>10.1.1</t>
  </si>
  <si>
    <t>RASGO EM ALVENARIA PARA RAMAIS</t>
  </si>
  <si>
    <t>90443</t>
  </si>
  <si>
    <t>RASGO EM ALVENARIA PARA RAMAIS/ DISTRIBUIÇÃO COM DIAMETROS MENORES OU IGUAIS A 40 MM. AF_05/2015</t>
  </si>
  <si>
    <t>10.1.2</t>
  </si>
  <si>
    <t>RECOMPOSIÇÃO</t>
  </si>
  <si>
    <t>90466</t>
  </si>
  <si>
    <t>CHUMBAMENTO LINEAR EM ALVENARIA PARA RAMAIS/DISTRIBUIÇÃO COM DIÂMETROS MENORES OU IGUAIS A 40 MM. AF_05/2015</t>
  </si>
  <si>
    <t>10.1.3</t>
  </si>
  <si>
    <t>TUBULAÇÃO AF</t>
  </si>
  <si>
    <t>89356</t>
  </si>
  <si>
    <t>TUBO, PVC, SOLDÁVEL, DN 25MM, INSTALADO EM RAMAL OU SUB-RAMAL DE ÁGUA - FORNECIMENTO E INSTALAÇÃO. AF_12/2014</t>
  </si>
  <si>
    <t>10.1.4</t>
  </si>
  <si>
    <t>94651</t>
  </si>
  <si>
    <t>TUBO, PVC, SOLDÁVEL, DN 50 MM, INSTALADO EM RESERVAÇÃO DE ÁGUA DE EDIFICAÇÃO QUE POSSUA RESERVATÓRIO DE FIBRA/FIBROCIMENTO FORNECIMENTO E INSTALAÇÃO. AF_06/2016</t>
  </si>
  <si>
    <t>10.1.5</t>
  </si>
  <si>
    <t>ADAPTADOR SOLDÁVEL P/ REGISTRO</t>
  </si>
  <si>
    <t>94662</t>
  </si>
  <si>
    <t xml:space="preserve">ADAPTADOR CURTO COM BOLSA E ROSCA PARA REGISTRO, PVC, SOLDÁVEL, DN 50 MM X 1 1/2 ,FORNECIMENTO E INSTALAÇÃO. </t>
  </si>
  <si>
    <t>10.1.6</t>
  </si>
  <si>
    <t>89383</t>
  </si>
  <si>
    <t>ADAPTADOR CURTO COM BOLSA E ROSCA PARA REGISTRO, PVC, SOLDÁVEL, DN 25MM X 3/4, INSTALADO EM RAMAL OU SUB-RAMAL DE ÁGUA - FORNECIMENTO E INSTALAÇÃO. AF_12/2014</t>
  </si>
  <si>
    <t>10.1.7</t>
  </si>
  <si>
    <t>REGISTROS</t>
  </si>
  <si>
    <t>94794</t>
  </si>
  <si>
    <t>REGISTRO DE GAVETA BRUTO, LATÃO, ROSCÁVEL, 1 1/2", COM ACABAMENTO E CANOPLA CROMADOS - FORNECIMENTO E INSTALAÇÃO. AF_08/2021</t>
  </si>
  <si>
    <t>10.1.8</t>
  </si>
  <si>
    <t>89987</t>
  </si>
  <si>
    <t>REGISTRO DE GAVETA BRUTO, LATÃO, ROSCÁVEL, 3/4", COM ACABAMENTO E CANOPLA CROMADOS - FORNECIMENTO E INSTALAÇÃO. AF_08/2021</t>
  </si>
  <si>
    <t>10.1.9</t>
  </si>
  <si>
    <t>CONEXÕES AF</t>
  </si>
  <si>
    <t>89362</t>
  </si>
  <si>
    <t>JOELHO 90 GRAUS, PVC, SOLDÁVEL, DN 25MM, INSTALADO EM RAMAL OU SUB-RAMAL DE ÁGUA - FORNECIMENTO E INSTALAÇÃO. AF_12/2014</t>
  </si>
  <si>
    <t>10.1.10</t>
  </si>
  <si>
    <t>89501</t>
  </si>
  <si>
    <t>JOELHO 90 GRAUS, PVC, SOLDÁVEL, DN 50MM, INSTALADO EM PRUMADA DE ÁGUA - FORNECIMENTO E INSTALAÇÃO. AF_12/2014</t>
  </si>
  <si>
    <t>10.1.11</t>
  </si>
  <si>
    <t>90373</t>
  </si>
  <si>
    <t>JOELHO 90 GRAUS COM BUCHA DE LATÃO, PVC, SOLDÁVEL, DN 25MM, X 1/2 INSTALADO EM RAMAL OU SUB-RAMAL DE ÁGUA - FORNECIMENTO E INSTALAÇÃO. AF_12/2014</t>
  </si>
  <si>
    <t>10.1.12</t>
  </si>
  <si>
    <t>89625</t>
  </si>
  <si>
    <t>TE, PVC, SOLDÁVEL, DN 50MM, INSTALADO EM PRUMADA DE ÁGUA - FORNECIMENTO E INSTALAÇÃO. AF_12/2014</t>
  </si>
  <si>
    <t>10.1.13</t>
  </si>
  <si>
    <t>89440</t>
  </si>
  <si>
    <t>TE, PVC, SOLDÁVEL, DN 25MM, INSTALADO EM RAMAL DE DISTRIBUIÇÃO DE ÁGUA - FORNECIMENTO E INSTALAÇÃO. AF_12/2014</t>
  </si>
  <si>
    <t>10.1.14</t>
  </si>
  <si>
    <t>89380</t>
  </si>
  <si>
    <t>BUCHA DE REDUÇÃO SOLD. LONGA 50 MM - 25 MM</t>
  </si>
  <si>
    <t>10.1.15</t>
  </si>
  <si>
    <t>BASE RESERVATÓRIO COM TERÇAS METÁLICAS</t>
  </si>
  <si>
    <t>92580 ADAP.</t>
  </si>
  <si>
    <t xml:space="preserve">[ADAPTADO] TRAMA DE AÇO COMPOSTA POR TERÇAS </t>
  </si>
  <si>
    <t>10.1.16</t>
  </si>
  <si>
    <t xml:space="preserve">CAIXA D'ÁGUA 1000 L </t>
  </si>
  <si>
    <t>102623</t>
  </si>
  <si>
    <t>CAIXA D´ÁGUA EM POLIETILENO, 1000 LITROS (INCLUSOS TUBOS, CONEXÕES E TORNEIRA DE BÓIA) - FORNECIMENTO E INSTALAÇÃO. AF_06/2021</t>
  </si>
  <si>
    <t>10.2</t>
  </si>
  <si>
    <t>ESGOTO</t>
  </si>
  <si>
    <t>10.2.1</t>
  </si>
  <si>
    <t>QUEBRAS E ESCAVAÇÃO VALA ESGOTO</t>
  </si>
  <si>
    <t>93358</t>
  </si>
  <si>
    <t>ESCAVAÇÃO MANUAL DE VALA COM PROFUNDIDADE MENOR OU IGUAL A 1,30 M. AF_03/2016</t>
  </si>
  <si>
    <t>10.2.2</t>
  </si>
  <si>
    <t>REATERRO</t>
  </si>
  <si>
    <t>96995</t>
  </si>
  <si>
    <t>REATERRO MANUAL APILOADO COM SOQUETE. AF_10/2017</t>
  </si>
  <si>
    <t>10.2.3</t>
  </si>
  <si>
    <t xml:space="preserve">RECOMPOSIÇÃO CONTRAPISOS, PISOS E CALÇADAS </t>
  </si>
  <si>
    <t>101747</t>
  </si>
  <si>
    <t>PISO EM CONCRETO 20 MPA PREPARO MECÂNICO, ESPESSURA 7CM. AF_09/2020</t>
  </si>
  <si>
    <t>10.2.4</t>
  </si>
  <si>
    <t>CAIXA DE PASSAGEM ENTERRADA</t>
  </si>
  <si>
    <t>97906</t>
  </si>
  <si>
    <t>CAIXA ENTERRADA HIDRÁULICA RETANGULAR, EM ALVENARIA COM BLOCOS DE CONCRETO, DIMENSÕES INTERNAS: 0,6X0,6X0,6 M PARA REDE DE ESGOTO. AF_12/2020</t>
  </si>
  <si>
    <t>10.2.5</t>
  </si>
  <si>
    <t>CAIXA DE GORDURA</t>
  </si>
  <si>
    <t>98110</t>
  </si>
  <si>
    <t>CAIXA DE GORDURA PEQUENA (CAPACIDADE: 19 L), CIRCULAR, EM PVC, DIÂMETRO INTERNO= 0,3 M. AF_12/2020</t>
  </si>
  <si>
    <t>10.2.6</t>
  </si>
  <si>
    <t>TUBO ESG.</t>
  </si>
  <si>
    <t>89714</t>
  </si>
  <si>
    <t>TUBO PVC, SERIE NORMAL, ESGOTO PREDIAL, DN 100 MM, FORNECIDO E INSTALADO EM RAMAL DE DESCARGA OU RAMAL DE ESGOTO SANITÁRIO. AF_12/2014</t>
  </si>
  <si>
    <t>10.2.7</t>
  </si>
  <si>
    <t>89711</t>
  </si>
  <si>
    <t>TUBO PVC, SERIE NORMAL, ESGOTO PREDIAL, DN 40 MM, FORNECIDO E INSTALADO EM RAMAL DE DESCARGA OU RAMAL DE ESGOTO SANITÁRIO. AF_12/2014</t>
  </si>
  <si>
    <t>10.2.8</t>
  </si>
  <si>
    <t>89712</t>
  </si>
  <si>
    <t>TUBO PVC, SERIE NORMAL, ESGOTO PREDIAL, DN 50 MM, FORNECIDO E INSTALADO EM RAMAL DE DESCARGA OU RAMAL DE ESGOTO SANITÁRIO. AF_12/2014</t>
  </si>
  <si>
    <t>10.2.9</t>
  </si>
  <si>
    <t>CONEXÕES ESG</t>
  </si>
  <si>
    <t>89802</t>
  </si>
  <si>
    <t>JOELHO 45 GRAUS, PVC, SERIE NORMAL, ESGOTO PREDIAL, DN 40 MM, JUNTA ELÁSTICA, FORNECIDO E INSTALADO EM PRUMADA DE ESGOTO SANITÁRIO OU VENTILAÇÃO. AF_12/2014</t>
  </si>
  <si>
    <t>10.2.10</t>
  </si>
  <si>
    <t>JOELHO 45 GRAUS, PVC, SERIE NORMAL, ESGOTO PREDIAL, DN 50 MM, JUNTA ELÁSTICA, FORNECIDO E INSTALADO EM PRUMADA DE ESGOTO SANITÁRIO OU VENTILAÇÃO. AF_12/2014</t>
  </si>
  <si>
    <t>10.2.11</t>
  </si>
  <si>
    <t>JOELHO 45 GRAUS, PVC, SERIE NORMAL, ESGOTO PREDIAL, DN 100 MM, JUNTA ELÁSTICA, FORNECIDO E INSTALADO EM RAMAL DE DESCARGA OU RAMAL DE ESGOTO SANITÁRIO. AF_12/2014</t>
  </si>
  <si>
    <t>10.2.12</t>
  </si>
  <si>
    <t>89797</t>
  </si>
  <si>
    <t>JUNÇÃO SIMPLES, PVC, SERIE NORMAL, ESGOTO PREDIAL, DN 100 X 100 MM, JUNTA ELÁSTICA, FORNECIDO E INSTALADO EM RAMAL DE DESCARGA OU RAMAL DE ESGOTO SANITÁRIO. AF_12/2014</t>
  </si>
  <si>
    <t>10.2.13</t>
  </si>
  <si>
    <t>89731</t>
  </si>
  <si>
    <t>JOELHO 90 GRAUS, PVC, SERIE NORMAL, ESGOTO PREDIAL, DN 40 MM, JUNTA ELÁSTICA, FORNECIDO E INSTALADO EM RAMAL DE DESCARGA OU RAMAL DE ESGOTO SANITÁRIO. AF_12/2014</t>
  </si>
  <si>
    <t>10.2.14</t>
  </si>
  <si>
    <t>JOELHO 90 GRAUS, PVC, SERIE NORMAL, ESGOTO PREDIAL, DN 50 MM, JUNTA ELÁSTICA, FORNECIDO E INSTALADO EM RAMAL DE DESCARGA OU RAMAL DE ESGOTO SANITÁRIO. AF_12/2014</t>
  </si>
  <si>
    <t>10.2.15</t>
  </si>
  <si>
    <t>89707</t>
  </si>
  <si>
    <t>CAIXA SIFONADA, PVC, DN 100 X 100 X 50 MM, JUNTA ELÁSTICA, FORNECIDA E INSTALADA EM RAMAL DE DESCARGA OU EM RAMAL DE ESGOTO SANITÁRIO. AF_12/2014</t>
  </si>
  <si>
    <t>10.2.16</t>
  </si>
  <si>
    <t>RALO PISO - BASE</t>
  </si>
  <si>
    <t>89709</t>
  </si>
  <si>
    <t>RALO SIFONADO, PVC, DN 100 X 40 MM, JUNTA SOLDÁVEL, FORNECIDO E INSTALADO EM RAMAL DE DESCARGA OU EM RAMAL DE ESGOTO SANITÁRIO. AF_12/2014</t>
  </si>
  <si>
    <t>10.3</t>
  </si>
  <si>
    <t>APARELHOS E ACESSÓRIOS</t>
  </si>
  <si>
    <t>10.3.1</t>
  </si>
  <si>
    <t>VASO SANITÁRIO</t>
  </si>
  <si>
    <t>86931</t>
  </si>
  <si>
    <t>VASO SANITÁRIO SIFONADO COM CAIXA ACOPLADA LOUÇA BRANCA, INCLUSO ENGATE FLEXÍVEL EM PLÁSTICO BRANCO, 1/2 X 40CM - FORNECIMENTO E INSTALAÇÃO. AF_01/2020</t>
  </si>
  <si>
    <t>10.3.2</t>
  </si>
  <si>
    <t>ASSENTO SANITÁRIO</t>
  </si>
  <si>
    <t>100849</t>
  </si>
  <si>
    <t>ASSENTO SANITÁRIO CONVENCIONAL - FORNECIMENTO E INSTALACAO. AF_01/2020</t>
  </si>
  <si>
    <t>10.3.3</t>
  </si>
  <si>
    <t>LAVATÓRIO - PNE - LOUÇA, TORNEIRA, ACESSÓRIOS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</si>
  <si>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</si>
  <si>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</si>
  <si>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10.3.4</t>
  </si>
  <si>
    <t>BANCADA BWCs</t>
  </si>
  <si>
    <t>86893
ADAPTADO</t>
  </si>
  <si>
    <t>BANCADA DE MÁRMORE BRANCO POLIDO, DE 1,50 X 0,60 M, PARA PIA DE COZINHA - FORNECIMENTO E INSTALAÇÃO. AF_01/2020</t>
  </si>
  <si>
    <t>10.3.5</t>
  </si>
  <si>
    <t>CUBAS BWC</t>
  </si>
  <si>
    <t>86938</t>
  </si>
  <si>
    <t>CUBA DE EMBUTIR OVAL EM LOUÇA BRANCA, 35 X 50CM OU EQUIVALENTE, INCLUSO VÁLVULA E SIFÃO TIPO GARRAFA EM METAL CROMADO - FORNECIMENTO E INSTALAÇÃO. AF_01/2020</t>
  </si>
  <si>
    <t>10.3.6</t>
  </si>
  <si>
    <t>TORNEIRAS BANCADA BWC</t>
  </si>
  <si>
    <t>36796</t>
  </si>
  <si>
    <t>TORNEIRA METALICA CROMADA DE MESA, PARA LAVATORIO, TEMPORIZADA PRESSAO FECHAMENTO AUTOMATICO, BICA BAIXA</t>
  </si>
  <si>
    <t>10.3.7</t>
  </si>
  <si>
    <t>CUBAS INOX COPA/LAB</t>
  </si>
  <si>
    <t>86935</t>
  </si>
  <si>
    <t>CUBA DE EMBUTIR DE AÇO INOXIDÁVEL MÉDIA, INCLUSO VÁLVULA TIPO AMERICANA EM METAL CROMADO E SIFÃO FLEXÍVEL EM PVC - FORNECIMENTO E INSTALAÇÃO. AF_01/2020</t>
  </si>
  <si>
    <t>10.3.8</t>
  </si>
  <si>
    <t>TORNEIRA COPA/LAB</t>
  </si>
  <si>
    <t>86910</t>
  </si>
  <si>
    <t>TORNEIRA CROMADA TUBO MÓVEL, DE PAREDE, 1/2 OU 3/4, PARA PIA DE COZINHA, PADRÃO MÉDIO - FORNECIMENTO E INSTALAÇÃO. AF_01/2020</t>
  </si>
  <si>
    <t>10.3.9</t>
  </si>
  <si>
    <t xml:space="preserve">BEBEDOURO INDUSTRIAL </t>
  </si>
  <si>
    <t>UENP PE 01/2022</t>
  </si>
  <si>
    <t>Material: Bebedouro Industrial Aço Inox 100L Especificações: Bebedouro industrial aço inox 100l, 3 ou 4 torneiras, motor tipo compressor, filtro de água acoplado, mangueira de polietileno atóxica Dimensões: alt.166; larg.54; prof.54, e 54kg de peso; pressão mínima e a máxima da água na entrada do aparelho de 3 a 20 m.c.a. (0,3k/cm≤ - 2k/cm≤) potência de 1/6 de CV e condensador Reservatório: Fabricado Em Polietileno. Capacidade:100 Litros De Água Gelada,300 copos de 200ml por hora. Serpentina: Interna, Em Aço Inox 304. Aparador/Cuba: Em Aço Inox 430. Torneiras: Tipo/Modelo Rosca. Compressor: 1/6 Hp. Gás Utilizado: R134a (Ecológico). Temperatura: Controle Através De Termostato Com Regulagem Marca de referência: Líder</t>
  </si>
  <si>
    <t>10.3.10</t>
  </si>
  <si>
    <t>BARRA DE APOIO - 60CM</t>
  </si>
  <si>
    <t>100866</t>
  </si>
  <si>
    <t>BARRA DE APOIO RETA, EM ACO INOX POLIDO, COMPRIMENTO 60CM, FIXADA NA PAREDE - FORNECIMENTO E INSTALAÇÃO. AF_01/2020</t>
  </si>
  <si>
    <t>10.3.11</t>
  </si>
  <si>
    <t>BARRA DE APOIO - 70CM</t>
  </si>
  <si>
    <t>100867</t>
  </si>
  <si>
    <t>BARRA DE APOIO RETA, EM ACO INOX POLIDO, COMPRIMENTO 70 CM,  FIXADA NA PAREDE - FORNECIMENTO E INSTALAÇÃO. AF_01/2020</t>
  </si>
  <si>
    <t>10.3.12</t>
  </si>
  <si>
    <t>BARRA DE APOIO - 80CM</t>
  </si>
  <si>
    <t>100868</t>
  </si>
  <si>
    <t>BARRA DE APOIO RETA, EM ACO INOX POLIDO, COMPRIMENTO 80 CM, FIXADA NA PAREDE - FORNECIMENTO E INSTALAÇÃO. AF_01/2020</t>
  </si>
  <si>
    <t>10.3.13</t>
  </si>
  <si>
    <t>DISPENSER SABONETEIRA</t>
  </si>
  <si>
    <t>95547</t>
  </si>
  <si>
    <t>SABONETEIRA PLASTICA TIPO DISPENSER PARA SABONETE LIQUIDO COM RESERVATORIO 800 A 1500 ML, INCLUSO FIXAÇÃO. AF_01/2020</t>
  </si>
  <si>
    <t>10.3.14</t>
  </si>
  <si>
    <t>DISPENSER PAPEL TOALHA</t>
  </si>
  <si>
    <t>37401</t>
  </si>
  <si>
    <t>TOALHEIRO PLASTICO TIPO DISPENSER PARA PAPEL TOALHA INTERFOLHADO</t>
  </si>
  <si>
    <t>10.3.15</t>
  </si>
  <si>
    <t>DISPENSER PAPEL HIGIÊNICO</t>
  </si>
  <si>
    <t>37400</t>
  </si>
  <si>
    <t>PAPELEIRA PLASTICA TIPO DISPENSER PARA PAPEL HIGIENICO ROLAO</t>
  </si>
  <si>
    <t>10.3.16</t>
  </si>
  <si>
    <t>ESPELHO 120X60 (2) 60X60 (1)</t>
  </si>
  <si>
    <t>11186</t>
  </si>
  <si>
    <t>ESPELHO CRISTAL E = 4 MM - FORNECIMENTO E INSTALAÇÃO</t>
  </si>
  <si>
    <t>10.4</t>
  </si>
  <si>
    <t>ÁGUAS PLUVIAIS E DRENAGEM JARDIM</t>
  </si>
  <si>
    <t>10.4.1</t>
  </si>
  <si>
    <t>CALHAS</t>
  </si>
  <si>
    <t>94229 adap</t>
  </si>
  <si>
    <t>CALHA EM CHAPA DE AÇO GALVANIZADO NÚMERO 24, DESENVOLVIMENTO DE 75CM, INCLUSO TRANSPORTE VERTICAL. AF_07/2019</t>
  </si>
  <si>
    <t>10.4.2</t>
  </si>
  <si>
    <t>CONDUTORES VERTICAIS</t>
  </si>
  <si>
    <t>94228</t>
  </si>
  <si>
    <t>CALHA EM CHAPA DE AÇO GALVANIZADO NÚMERO 24, DESENVOLVIMENTO DE 50 CM, INCLUSO TRANSPORTE VERTICAL. AF_07/2019</t>
  </si>
  <si>
    <t>10.4.3</t>
  </si>
  <si>
    <t>CAIXAS PLUVIAIS PASSAGEM</t>
  </si>
  <si>
    <t>97898</t>
  </si>
  <si>
    <t>CAIXA ENTERRADA HIDRÁULICA RETANGULAR, EM CONCRETO PRÉ-MOLDADO, DIMENSÕES INTERNAS: 0,8X0,8X0,5 M. AF_12/2020</t>
  </si>
  <si>
    <t>10.4.4</t>
  </si>
  <si>
    <t>CAIXA COM GRELHA</t>
  </si>
  <si>
    <t>103006</t>
  </si>
  <si>
    <t>CAIXA COM GRELHA RETANGULAR DE FERRO FUNDIDO, EM ALVENARIA COM TIJOLOS CERÂMICOS MACIÇOS, DIMENSÕES INTERNAS: 0,20 X 1,00 X 0,4 M. AF_08/2021</t>
  </si>
  <si>
    <t>10.4.5</t>
  </si>
  <si>
    <t xml:space="preserve">ESCAVAÇÃO </t>
  </si>
  <si>
    <t>90105</t>
  </si>
  <si>
    <t>ESCAVAÇÃO MECANIZADA DE VALA COM PROFUNDIDADE ATÉ 1,5 M (MÉDIA MONTANTE E JUSANTE/UMA COMPOSIÇÃO POR TRECHO), RETROESCAV. (0,26 M3), LARGURA MENOR QUE 0,8 M, EM SOLO DE 1A CATEGORIA, LOCAIS COM BAIXO NÍVEL DE INTERFERÊNCIA. AF_02/2021</t>
  </si>
  <si>
    <t>10.4.6</t>
  </si>
  <si>
    <t>93378</t>
  </si>
  <si>
    <t>REATERRO MECANIZADO DE VALA COM RETROESCAVADEIRA (CAPACIDADE DA CAÇAMBA DA RETRO: 0,26 M³ / POTÊNCIA: 88 HP), LARGURA ATÉ 0,8 M, PROFUNDIDADE ATÉ 1,5 M, COM SOLO DE 1ª CATEGORIA EM LOCAIS COM BAIXO NÍVEL DE INTERFERÊNCIA. AF_04/2016</t>
  </si>
  <si>
    <t>10.4.7</t>
  </si>
  <si>
    <t>DRENO BRITA + MANTA  + PEAD</t>
  </si>
  <si>
    <t>102666</t>
  </si>
  <si>
    <t>DRENO SUBSUPERFICIAL (SEÇÃO 0,40 X 0,40 M), COM TUBO DE PEAD CORRUGADO PERFURADO, DN 100 MM, ENCHIMENTO COM BRITA, ENVOLVIDO COM MANTA GEOTÊXTIL. AF_07/2021</t>
  </si>
  <si>
    <t>10.4.8</t>
  </si>
  <si>
    <t>TUBULAÇÃO PLUVIAL + CONEXÕES</t>
  </si>
  <si>
    <t>89580</t>
  </si>
  <si>
    <t>TUBO PVC, SÉRIE R, ÁGUA PLUVIAL, DN 150 MM, FORNECIDO E INSTALADO EM CONDUTORES VERTICAIS DE ÁGUAS PLUVIAIS. AF_12/2014</t>
  </si>
  <si>
    <t>10.5</t>
  </si>
  <si>
    <t>GÁS</t>
  </si>
  <si>
    <t>10.5.1</t>
  </si>
  <si>
    <t>REGISTROS ESFERA</t>
  </si>
  <si>
    <t>95248</t>
  </si>
  <si>
    <t>VÁLVULA DE ESFERA BRUTA, BRONZE, ROSCÁVEL, 1/2" - FORNECIMENTO E INSTALAÇÃO. AF_08/2021</t>
  </si>
  <si>
    <t>10.5.2</t>
  </si>
  <si>
    <t>TUBO COBRE</t>
  </si>
  <si>
    <t>92305</t>
  </si>
  <si>
    <t>TUBO EM COBRE RÍGIDO, DN 15 MM, CLASSE E, SEM ISOLAMENTO, INSTALADO EM RAMAL DE DISTRIBUIÇÃO  FORNECIMENTO E INSTALAÇÃO. AF_12/2015</t>
  </si>
  <si>
    <t>10.5.3</t>
  </si>
  <si>
    <t>COTOVELOS COBRE</t>
  </si>
  <si>
    <t>93075</t>
  </si>
  <si>
    <t>COTOVELO EM BRONZE/LATÃO, DN 15 MM X 1/2", 90 GRAUS, SEM ANEL DE SOLDA, BOLSA X ROSCA F, INSTALADO EM RAMAL DE DISTRIBUIÇÃO  FORNECIMENTO E INSTALAÇÃO. AF_01/2016</t>
  </si>
  <si>
    <t>10.5.4</t>
  </si>
  <si>
    <t>TÊ COBRE</t>
  </si>
  <si>
    <t>92317</t>
  </si>
  <si>
    <t>TE EM COBRE, DN 15 MM, SEM ANEL DE SOLDA, INSTALADO EM RAMAL DE DISTRIBUIÇÃO  FORNECIMENTO E INSTALAÇÃO. AF_12/2015</t>
  </si>
  <si>
    <t>10.5.5</t>
  </si>
  <si>
    <t>PONTO DE UTILIZAÇÃO</t>
  </si>
  <si>
    <t>92329 ADAP</t>
  </si>
  <si>
    <t>Espigão Adaptador Rosca 1/2 Para Instalação Gás Encanado</t>
  </si>
  <si>
    <t>10.5.6</t>
  </si>
  <si>
    <t>MANÔMETRO/REGULADOR</t>
  </si>
  <si>
    <t>09848/ORSE</t>
  </si>
  <si>
    <t>Manômetro Regulador Pressão Gás Glp Cilindro Botijão 45 Kg</t>
  </si>
  <si>
    <t>10.5.7</t>
  </si>
  <si>
    <t>FIXAÇÃO TUBULAÇÃO</t>
  </si>
  <si>
    <t>91170</t>
  </si>
  <si>
    <t>FIXAÇÃO DE TUBOS HORIZONTAIS DE PVC, CPVC OU COBRE DIÂMETROS MENORES OU IGUAIS A 40 MM OU ELETROCALHAS ATÉ 150MM DE LARGURA, COM ABRAÇADEIRA METÁLICA RÍGIDA TIPO D 1/2, FIXADA EM PERFILADO EM LAJE. AF_05/2015</t>
  </si>
  <si>
    <t>10.5.8</t>
  </si>
  <si>
    <t>PINTURA ID. TUBULAÇÃO</t>
  </si>
  <si>
    <t xml:space="preserve">PINTURA COM TINTA ALQUÍDICA DE FUNDO E ACABAMENTO (ESMALTE SINTÉTICO) PULVERIZADA SOBRE PERFIL METÁLICO </t>
  </si>
  <si>
    <t>10.5.9</t>
  </si>
  <si>
    <t>ABRIGO PISO</t>
  </si>
  <si>
    <t>10.5.10</t>
  </si>
  <si>
    <t>ABRIGO - ALVENARIA</t>
  </si>
  <si>
    <t>103326</t>
  </si>
  <si>
    <t>ALVENARIA DE VEDAÇÃO DE BLOCOS CERÂMICOS FURADOS NA VERTICAL DE 19X19X39 CM (ESPESSURA 19 CM) E ARGAMASSA DE ASSENTAMENTO COM PREPARO EM BETONEIRA. AF_12/2021</t>
  </si>
  <si>
    <t>10.5.11</t>
  </si>
  <si>
    <t>ABRIGO - LAJE</t>
  </si>
  <si>
    <t>101963</t>
  </si>
  <si>
    <t>LAJE PRÉ-MOLDADA UNIDIRECIONAL, BIAPOIADA, PARA PISO, ENCHIMENTO EM CERÂMICA, VIGOTA CONVENCIONAL, ALTURA TOTAL DA LAJE (ENCHIMENTO+CAPA) = (8+4). AF_11/2020</t>
  </si>
  <si>
    <t>10.5.12</t>
  </si>
  <si>
    <t>ABRIGO - ACABAMENTO</t>
  </si>
  <si>
    <t>10.5.13</t>
  </si>
  <si>
    <t>10.5.14</t>
  </si>
  <si>
    <t>10.5.15</t>
  </si>
  <si>
    <t>10.5.16</t>
  </si>
  <si>
    <t>ABRIGO - PORTAS VENEZIANA</t>
  </si>
  <si>
    <t>91341</t>
  </si>
  <si>
    <t>PORTA EM ALUMÍNIO DE ABRIR TIPO VENEZIANA COM GUARNIÇÃO, FIXAÇÃO COM PARAFUSOS - FORNECIMENTO E INSTALAÇÃO. AF_12/2019</t>
  </si>
  <si>
    <t>10.5.17</t>
  </si>
  <si>
    <t>CILINDROS P45</t>
  </si>
  <si>
    <t>COTAÇÃO</t>
  </si>
  <si>
    <t xml:space="preserve">CILINDRO PARA GÁS P45 </t>
  </si>
  <si>
    <t>11</t>
  </si>
  <si>
    <t>ESTRUTURA E COBERTURA</t>
  </si>
  <si>
    <t>11.1</t>
  </si>
  <si>
    <t>FUNDAÇÃO</t>
  </si>
  <si>
    <t>11.1.1</t>
  </si>
  <si>
    <t>TRU - BROCA</t>
  </si>
  <si>
    <t xml:space="preserve">ESTACA BROCA DE CONCRETO, DIÂMETRO DE 25CM, ESCAVAÇÃO MANUAL COM TRADO CONCHA, COM ARMADURA </t>
  </si>
  <si>
    <t>11.1.2</t>
  </si>
  <si>
    <t>VALA - BALDRAME/BLOCOS</t>
  </si>
  <si>
    <t>ESCAVAÇÃO MANUAL DE VALA COM PROFUNDIDADE MENOR OU IGUAL A 1,30 M. AF_02/2021</t>
  </si>
  <si>
    <t>11.1.3</t>
  </si>
  <si>
    <t>TRU - CONCRETO BLOCO/BALDRAME</t>
  </si>
  <si>
    <t>CONCRETO FCK = 25MPA, TRAÇO 1:2,3:2,7 (EM MASSA SECA DE CIMENTO/ AREIA MÉDIA/ BRITA 1) - PREPARO MECÂNICO COM BETONEIRA 600 L. AF_05/2021</t>
  </si>
  <si>
    <t>11.1.4</t>
  </si>
  <si>
    <t>TRU - ARMAÇÃO BLOCO / BALDRAME</t>
  </si>
  <si>
    <t>92775</t>
  </si>
  <si>
    <t>ARMAÇÃO DE PILAR OU VIGA DE UMA ESTRUTURA CONVENCIONAL DE CONCRETO ARMADO EM UMA EDIFICAÇÃO TÉRREA OU SOBRADO UTILIZANDO AÇO CA-60 DE 5,0 MM - MONTAGEM. AF_12/2015</t>
  </si>
  <si>
    <t>KG</t>
  </si>
  <si>
    <t>11.1.5</t>
  </si>
  <si>
    <t>92777</t>
  </si>
  <si>
    <t>ARMAÇÃO DE PILAR OU VIGA DE UMA ESTRUTURA CONVENCIONAL DE CONCRETO ARMADO EM UMA EDIFICAÇÃO TÉRREA OU SOBRADO UTILIZANDO AÇO CA-50 DE 8,0 MM - MONTAGEM. AF_12/2015</t>
  </si>
  <si>
    <t>11.1.6</t>
  </si>
  <si>
    <t>CHAPA ESPERA PIALRES</t>
  </si>
  <si>
    <t>1319</t>
  </si>
  <si>
    <t>CHAPA DE ACO FINA A QUENTE BITOLA MSG 3/16 ", E = 4,75 MM (38,00 KG/M2)</t>
  </si>
  <si>
    <t>11.1.7</t>
  </si>
  <si>
    <t>CHUMABADORES J/PARAFUSOS</t>
  </si>
  <si>
    <t>92763 ADAP</t>
  </si>
  <si>
    <t>ARMAÇÃO UTILIZANDO AÇO CA-50 DE 12,5 MM - MONTAGEM. AF_12/2015</t>
  </si>
  <si>
    <t>11.1.8</t>
  </si>
  <si>
    <t xml:space="preserve">TRU - FORMAS (BALDRAME) </t>
  </si>
  <si>
    <t>96542</t>
  </si>
  <si>
    <t>FABRICAÇÃO, MONTAGEM E DESMONTAGEM DE FÔRMA PARA VIGA BALDRAME, EM CHAPA DE MADEIRA COMPENSADA RESINADA, E=17 MM, 4 UTILIZAÇÕES. AF_06/2017</t>
  </si>
  <si>
    <t>11.1.9</t>
  </si>
  <si>
    <t>IMPERMEABILIZAÇÃO FUNDAÇÃO</t>
  </si>
  <si>
    <t>98557</t>
  </si>
  <si>
    <t>IMPERMEABILIZAÇÃO DE SUPERFÍCIE COM EMULSÃO ASFÁLTICA, 2 DEMÃOS AF_06/2018</t>
  </si>
  <si>
    <t>11.2</t>
  </si>
  <si>
    <t>ESTRUTURA METÁLICA E TELHADO</t>
  </si>
  <si>
    <t>11.2.1</t>
  </si>
  <si>
    <t>PILARES METÁLICOS TUBO QUADRADO 200 X 3 MM - INCLUSO CHAPAS E PARAFUSOS DE LIGAÇÕES</t>
  </si>
  <si>
    <t>100765</t>
  </si>
  <si>
    <t>PILAR METÁLICO PERFIL LAMINADO/SOLDADO EM AÇO ESTRUTURAL, COM CONEXÕES PARAFUSADAS, INCLUSOS MÃO DE OBRA, TRANSPORTE E IÇAMENTO UTILIZANDO GUINDASTE - FORNECIMENTO E INSTALAÇÃO. AF_01/2020_P</t>
  </si>
  <si>
    <t>11.2.2</t>
  </si>
  <si>
    <t>VIGAS METÁLICAS  - TESOURAS 6" -  INCLUSO CHAPAS E PARAFUSOS DE LIGAÇÕES</t>
  </si>
  <si>
    <t>100763</t>
  </si>
  <si>
    <t>VIGA METÁLICA EM PERFIL LAMINADO OU SOLDADO EM AÇO ESTRUTURAL, COM CONEXÕES PARAFUSADAS, INCLUSOS MÃO DE OBRA, TRANSPORTE E IÇAMENTO UTILIZANDO GUINDASTE - FORNECIMENTO E INSTALAÇÃO. AF_01/2020_P</t>
  </si>
  <si>
    <t>11.2.3</t>
  </si>
  <si>
    <t>VIGAS METÁLICAS TRAVAMENTO  LATERAL 6"  -  INCLUSO CHAPAS E PARAFUSOS DE LIGAÇÕES</t>
  </si>
  <si>
    <t>11.2.4</t>
  </si>
  <si>
    <t>TERÇAS E CONTRAVAMENTOS</t>
  </si>
  <si>
    <t>92580</t>
  </si>
  <si>
    <t>TRAMA DE AÇO COMPOSTA POR TERÇAS PARA TELHADOS DE ATÉ 2 ÁGUAS PARA TELHA ONDULADA DE FIBROCIMENTO, METÁLICA, PLÁSTICA OU TERMOACÚSTICA, INCLUSO TRANSPORTE VERTICAL. AF_07/2019</t>
  </si>
  <si>
    <t>11.2.5</t>
  </si>
  <si>
    <t>TELHAMENTO</t>
  </si>
  <si>
    <t>TELHAMENTO COM TELHA METÁLICA TERMOACÚSTICA E = 30 MM, COM ATÉ 2 ÁGUAS, INCLUSO IÇAMENTO. AF_07/2019</t>
  </si>
  <si>
    <t>11.2.6</t>
  </si>
  <si>
    <t>CAPA ACABAMENTO TELHA</t>
  </si>
  <si>
    <t>Acabamento frontal em aço para TELHA TRAPEZOIDAL 30mm</t>
  </si>
  <si>
    <t>11.2.7</t>
  </si>
  <si>
    <t>CUMEEIRA - AÇO GALVANIZADO LARGURA 120 CM</t>
  </si>
  <si>
    <t>94213 ADAP</t>
  </si>
  <si>
    <t>[ADAP CUMEEIRA COM TELHA DE AÇO GALVANIZADO] TELHAMENTO COM TELHA DE AÇO/ALUMÍNIO E = 0,5 MM, COM ATÉ 2 ÁGUAS, INCLUSO IÇAMENTO. AF_07/2019</t>
  </si>
  <si>
    <t>11.2.8</t>
  </si>
  <si>
    <t>PINTURA ESTRUTURA METÁLICA E TELHA (DUAS FACES) - FUNDO+ESMALTE</t>
  </si>
  <si>
    <t>12</t>
  </si>
  <si>
    <t>INST. PREVENÇÃO INCÊNDIO</t>
  </si>
  <si>
    <t>12.1</t>
  </si>
  <si>
    <t>EXTINTOR PQS</t>
  </si>
  <si>
    <t>101909</t>
  </si>
  <si>
    <t>EXTINTOR DE INCÊNDIO PORTÁTIL COM CARGA DE PQS DE 6 KG, CLASSE BC - FORNECIMENTO E INSTALAÇÃO. AF_10/2020_P</t>
  </si>
  <si>
    <t>12.2</t>
  </si>
  <si>
    <t>EXTINTOR ÁGUA</t>
  </si>
  <si>
    <t>101905</t>
  </si>
  <si>
    <t>EXTINTOR DE INCÊNDIO PORTÁTIL COM CARGA DE ÁGUA PRESSURIZADA DE 10 L, CLASSE A - FORNECIMENTO E INSTALAÇÃO. AF_10/2020_P</t>
  </si>
  <si>
    <t>12.3</t>
  </si>
  <si>
    <t>PLACAS SINALIZAÇÃO</t>
  </si>
  <si>
    <t>37556</t>
  </si>
  <si>
    <t>PLACA DE SINALIZACAO DE SEGURANCA CONTRA INCENDIO, FOTOLUMINESCENTE, QUADRADA, *20 X 20* CM, EM PVC *2* MM ANTI-CHAMAS (SIMBOLOS, CORES E PICTOGRAMAS CONFORME NBR 16820)</t>
  </si>
  <si>
    <t>12.4</t>
  </si>
  <si>
    <t>LUMINÁRIAS DE EMERGÊNCIA</t>
  </si>
  <si>
    <t>97599</t>
  </si>
  <si>
    <t>LUMINÁRIA DE EMERGÊNCIA, COM 30 LÂMPADAS LED DE 2 W, SEM REATOR - FORNECIMENTO E INSTALAÇÃO. AF_02/2020</t>
  </si>
  <si>
    <t>13</t>
  </si>
  <si>
    <t>PÁTIO E PAISAGISMO</t>
  </si>
  <si>
    <t>13.1</t>
  </si>
  <si>
    <t>PERGOLADO</t>
  </si>
  <si>
    <t>103314</t>
  </si>
  <si>
    <t>INSTALAÇÃO DE PERGOLADO DE MADEIRA, EM MAÇARANDUBA, ANGELIM OU EQUIVALENTE DA REGIÃO, FIXADO COM CONCRETO SOBRE PISO DE CONCRETO EXISTENTE. AF_11/2021</t>
  </si>
  <si>
    <t>13.2</t>
  </si>
  <si>
    <t>COBERTURA- PERGOLADO</t>
  </si>
  <si>
    <t>94449</t>
  </si>
  <si>
    <t>TELHAMENTO COM TELHA ONDULADA DE FIBRA DE VIDRO E = 0,6 MM, PARA TELHADO COM INCLINAÇÃO MAIOR QUE 10°, COM ATÉ 2 ÁGUAS, INCLUSO IÇAMENTO. AF_07/2019</t>
  </si>
  <si>
    <t>13.3</t>
  </si>
  <si>
    <t>CALÇAMENTO</t>
  </si>
  <si>
    <t>92396</t>
  </si>
  <si>
    <t>EXECUÇÃO DE PASSEIO EM PISO INTERTRAVADO, COM BLOCO RETANGULAR COR NATURAL DE 20 X 10 CM, ESPESSURA 6 CM. AF_12/2015</t>
  </si>
  <si>
    <t>13.4</t>
  </si>
  <si>
    <t>CALÇAMENTO - ACESSO AO COWORKING</t>
  </si>
  <si>
    <t>13.5</t>
  </si>
  <si>
    <t>GRAMA</t>
  </si>
  <si>
    <t>98504</t>
  </si>
  <si>
    <t>PLANTIO DE GRAMA EM PLACAS. AF_05/2018</t>
  </si>
  <si>
    <t>13.6</t>
  </si>
  <si>
    <t>VEGETAÇÃO</t>
  </si>
  <si>
    <t>98516</t>
  </si>
  <si>
    <t>PLANTIO DE PALMEIRA COM ALTURA DE MUDA MENOR OU IGUAL A 2,00 M. AF_05/2018</t>
  </si>
  <si>
    <t>13.7</t>
  </si>
  <si>
    <t>CONJUNTO DE BANCOS</t>
  </si>
  <si>
    <t>COMP.06</t>
  </si>
  <si>
    <t>CONJUNTO DE BANCOS EM CONCRETO/MADEIRA</t>
  </si>
  <si>
    <t>13.8</t>
  </si>
  <si>
    <t>CERCA</t>
  </si>
  <si>
    <t>98522</t>
  </si>
  <si>
    <t>ALAMBRADO EM MOURÕES DE CONCRETO, COM TELA DE ARAME GALVANIZADO (INCLUSIVE MURETA EM CONCRETO). AF_05/2018</t>
  </si>
  <si>
    <t>13.9</t>
  </si>
  <si>
    <t>PORTÃO</t>
  </si>
  <si>
    <t>100701</t>
  </si>
  <si>
    <t>PORTA DE FERRO, DE ABRIR, TIPO GRADE COM CHAPA, COM GUARNIÇÕES. AF_12/2019</t>
  </si>
  <si>
    <t>14</t>
  </si>
  <si>
    <t xml:space="preserve">PASSARELA </t>
  </si>
  <si>
    <t>14.1</t>
  </si>
  <si>
    <t>LIMPEZA E NIVELAMENTO</t>
  </si>
  <si>
    <t>97083 ADAP</t>
  </si>
  <si>
    <t>LIMPEZA TERRENO E COMPACTAÇÃO DE SOLO PARA EXECUÇÃO DE PISO DE CONCRETO SOBRE SOLO</t>
  </si>
  <si>
    <t>14.2</t>
  </si>
  <si>
    <t>CALÇADA  25X2,4M E=5CM</t>
  </si>
  <si>
    <t>14.3</t>
  </si>
  <si>
    <t>CHUMBAMENTO TUBOS</t>
  </si>
  <si>
    <t>14.4</t>
  </si>
  <si>
    <t xml:space="preserve">ESTRUTURA METÁLICA
 - PILAR TUBO (50X2.65MM) 1 CADA 2,5M;
- VIGAS TUBO (60X30X2,25MM) CADA 1,25 M E EM TODO PERÍMETRO
</t>
  </si>
  <si>
    <t>100763 
ADAPTADO</t>
  </si>
  <si>
    <t xml:space="preserve">PERFIL LAMINADO OU SOLDADO EM AÇO ESTRUTURAL, COM CONEXÕES PARAFUSADAS/SOLDADADAS, INCLUSOS MÃO DE OBRA - FORNECIMENTO E INSTALAÇÃO. </t>
  </si>
  <si>
    <t>14.5</t>
  </si>
  <si>
    <t>94213</t>
  </si>
  <si>
    <t>TELHAMENTO COM TELHA DE AÇO/ALUMÍNIO E = 0,5 MM, COM ATÉ 2 ÁGUAS, INCLUSO IÇAMENTO. AF_07/2019</t>
  </si>
  <si>
    <t>14.6</t>
  </si>
  <si>
    <t>PINTURA ESTRUTURA</t>
  </si>
  <si>
    <t>15</t>
  </si>
  <si>
    <t>FINALIZAÇÕES, LIMPEZA E RCC</t>
  </si>
  <si>
    <t>15.1</t>
  </si>
  <si>
    <t>SINALIZAÇÃO</t>
  </si>
  <si>
    <t>04275/ORSE
ADAPTADO</t>
  </si>
  <si>
    <t xml:space="preserve">
PLACA DE SINALIZAÇÃO EM ACRÍLICO, 0.30 X 0.12 M - FORNECIMENTO E INSTALAÇÃO</t>
  </si>
  <si>
    <t>15.2</t>
  </si>
  <si>
    <t xml:space="preserve">LIMPEZA GERAL DA OBRA </t>
  </si>
  <si>
    <r>
      <rPr>
        <sz val="10"/>
        <color rgb="FF000000"/>
        <rFont val="Calibri"/>
        <family val="2"/>
      </rPr>
      <t xml:space="preserve">99803
</t>
    </r>
    <r>
      <rPr>
        <i/>
        <sz val="10"/>
        <color rgb="FF000000"/>
        <rFont val="Calibri"/>
        <family val="2"/>
      </rPr>
      <t>ADAPTADO</t>
    </r>
  </si>
  <si>
    <t>[ADAPTADO]
LIMPEZA DE PISOS, ESQUADRIAS, FORROS, BANCADAS E INSTALAÇÕES</t>
  </si>
  <si>
    <t>15.3</t>
  </si>
  <si>
    <t>RETIRADA DE ENTULHO</t>
  </si>
  <si>
    <t>00026/ORSE</t>
  </si>
  <si>
    <t>Coleta e carga manuais de entulho</t>
  </si>
  <si>
    <t>CENTRO ACADÊMICO</t>
  </si>
  <si>
    <t>16</t>
  </si>
  <si>
    <t>REMOÇÃO DE FORRO PVC</t>
  </si>
  <si>
    <t>97640</t>
  </si>
  <si>
    <t>REMOÇÃO DE FORROS DE DRYWALL, PVC E FIBROMINERAL, DE FORMA MANUAL, SEM REAPROVEITAMENTO. AF_12/2017</t>
  </si>
  <si>
    <t>DEMOLIÇÃO DE PISO CERÂMICO</t>
  </si>
  <si>
    <t>DEMOLIÇÃO DE REVESTIMENTO CERÂMICO - SANITÁRIOS</t>
  </si>
  <si>
    <t>14.7</t>
  </si>
  <si>
    <t>14.8</t>
  </si>
  <si>
    <t>14.9</t>
  </si>
  <si>
    <t>14.10</t>
  </si>
  <si>
    <t>17</t>
  </si>
  <si>
    <t>REGULARIZAÇÃO DE PAREDES - SANITÁRIOS</t>
  </si>
  <si>
    <t>R$ 7,42</t>
  </si>
  <si>
    <t>R$ 7,04</t>
  </si>
  <si>
    <t>R$ 14,46</t>
  </si>
  <si>
    <t>R$ 18,22</t>
  </si>
  <si>
    <t>R$ 63,10</t>
  </si>
  <si>
    <t>R$ 56,44</t>
  </si>
  <si>
    <t>R$ 119,54</t>
  </si>
  <si>
    <t>R$ 150,64</t>
  </si>
  <si>
    <t>15.4</t>
  </si>
  <si>
    <t>R$ 22,17</t>
  </si>
  <si>
    <t>R$ 23,27</t>
  </si>
  <si>
    <t>R$ 45,44</t>
  </si>
  <si>
    <t>R$ 57,26</t>
  </si>
  <si>
    <t>15.5</t>
  </si>
  <si>
    <t>R$ 301,39</t>
  </si>
  <si>
    <t>R$ 308,78</t>
  </si>
  <si>
    <t>R$ 610,17</t>
  </si>
  <si>
    <t>R$ 768,94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</si>
  <si>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</si>
  <si>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</si>
  <si>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</si>
  <si>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</si>
  <si>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</si>
  <si>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</si>
  <si>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</si>
  <si>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</si>
  <si>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</si>
  <si>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18</t>
  </si>
  <si>
    <t>16.1</t>
  </si>
  <si>
    <t>16.2</t>
  </si>
  <si>
    <t>16.3</t>
  </si>
  <si>
    <t>PAREDES DRYWALL - PLACA VERDE</t>
  </si>
  <si>
    <t>COMP.07</t>
  </si>
  <si>
    <t>PAREDE COM PLACAS DE GESSO ACARTONADO (DRYWALL), PARA USO INTERNO, COM CHAPA DE GESSO ACARTONADO, RESISTENTE A UMIDADE (RU), COR VERDE, E = 12,5 MM, 1200 X 2400 MM (L X C), DUAS FACES SIMPLES E ESTRUTURA METÁLICA COM GUIAS SIMPLES, COM VÃOS</t>
  </si>
  <si>
    <t>16.4</t>
  </si>
  <si>
    <t>16.5</t>
  </si>
  <si>
    <t>FORRO EM DRYWALL</t>
  </si>
  <si>
    <t>96110</t>
  </si>
  <si>
    <t>FORRO EM DRYWALL, PARA AMBIENTES RESIDENCIAIS, INCLUSIVE ESTRUTURA DE FIXAÇÃO. AF_05/2017_P</t>
  </si>
  <si>
    <t>16.6</t>
  </si>
  <si>
    <t>ACABAMENTO NO FORRO DE DRYWALL</t>
  </si>
  <si>
    <t>88494</t>
  </si>
  <si>
    <t>APLICAÇÃO E LIXAMENTO DE MASSA LÁTEX EM TETO, UMA DEMÃO. AF_06/2014</t>
  </si>
  <si>
    <t>19</t>
  </si>
  <si>
    <t>17.1</t>
  </si>
  <si>
    <t>17.2</t>
  </si>
  <si>
    <t>17.3</t>
  </si>
  <si>
    <t>RODAPÉ</t>
  </si>
  <si>
    <t>20</t>
  </si>
  <si>
    <t>18.1</t>
  </si>
  <si>
    <t>JANELA 0,8X0,8m</t>
  </si>
  <si>
    <t>18.2</t>
  </si>
  <si>
    <t xml:space="preserve">JANELA 1,5X0,92m </t>
  </si>
  <si>
    <t>94574</t>
  </si>
  <si>
    <t>JANELA DE ALUMÍNIO TIPO MAXIM-AR, COM VIDROS, BATENTE E FERRAGENS. EXCLUSIVE ALIZAR, ACABAMENTO E CONTRAMARCO. FORNECIMENTO E INSTALAÇÃO. AF_12/2020</t>
  </si>
  <si>
    <t>18.3</t>
  </si>
  <si>
    <t>JANELA 2,5X0,8m</t>
  </si>
  <si>
    <t>18.4</t>
  </si>
  <si>
    <t>JANELA 2,5X1,4m</t>
  </si>
  <si>
    <t>18.5</t>
  </si>
  <si>
    <t>PORTAS DE MADEIRA 70 CM</t>
  </si>
  <si>
    <t>90795</t>
  </si>
  <si>
    <t>KIT DE PORTA-PRONTA DE MADEIRA EM ACABAMENTO MELAMÍNICO BRANCO, FOLHA LEVE OU MÉDIA, E BATENTE METÁLICO, 70X210CM, FIXAÇÃO COM ARGAMASSA - FORNECIMENTO E INSTALAÇÃO. AF_12/2019</t>
  </si>
  <si>
    <t>18.6</t>
  </si>
  <si>
    <t>18.7</t>
  </si>
  <si>
    <t>18.8</t>
  </si>
  <si>
    <t>PORTAs DE VIDRO</t>
  </si>
  <si>
    <t xml:space="preserve">100702
</t>
  </si>
  <si>
    <t>PORTA DE CORRER DE ALUMÍNIO, COM DUAS FOLHAS PARA VIDRO, INCLUSO VIDRO LISO INCOLOR, FECHADURA E PUXADOR, SEM ALIZAR. AF_12/2019(</t>
  </si>
  <si>
    <t>18.9</t>
  </si>
  <si>
    <t>PORTA DE VIDRO - RECEPÇÃO</t>
  </si>
  <si>
    <t>18.10</t>
  </si>
  <si>
    <t>21</t>
  </si>
  <si>
    <t>19.1</t>
  </si>
  <si>
    <t>19.2</t>
  </si>
  <si>
    <t>19.3</t>
  </si>
  <si>
    <t>19.4</t>
  </si>
  <si>
    <t>19.5</t>
  </si>
  <si>
    <t>22</t>
  </si>
  <si>
    <t>20.1</t>
  </si>
  <si>
    <t>ALVENARIA - BASE DAS BANCADAS</t>
  </si>
  <si>
    <t>20.2</t>
  </si>
  <si>
    <t>20.3</t>
  </si>
  <si>
    <t>20.4</t>
  </si>
  <si>
    <t>20.5</t>
  </si>
  <si>
    <t>20.6</t>
  </si>
  <si>
    <t>20.7</t>
  </si>
  <si>
    <t>20.8</t>
  </si>
  <si>
    <t>23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</si>
  <si>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</si>
  <si>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</si>
  <si>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</si>
  <si>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</si>
  <si>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</si>
  <si>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</si>
  <si>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</si>
  <si>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</si>
  <si>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</si>
  <si>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</si>
  <si>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</si>
  <si>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</si>
  <si>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</si>
  <si>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</si>
  <si>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39391</t>
  </si>
  <si>
    <t>LUMINARIA LED REFLETOR RETANGULAR BIVOLT, LUZ BRANCA, 50 W</t>
  </si>
  <si>
    <t>21.15</t>
  </si>
  <si>
    <t>21.16</t>
  </si>
  <si>
    <t>21.17</t>
  </si>
  <si>
    <t>21.18</t>
  </si>
  <si>
    <t>21.19</t>
  </si>
  <si>
    <t>DISJ. 2X63A</t>
  </si>
  <si>
    <t>101894 adap</t>
  </si>
  <si>
    <t>DISJUNTOR BIPOLAR DIN, CORRENTE NOMINAL DE 60 ATÉ 100A - FORNECIMENTO E INSTALAÇÃO. AF_10/2020</t>
  </si>
  <si>
    <t>21.20</t>
  </si>
  <si>
    <t xml:space="preserve">QUADRO DISTRIBUIÇÃO </t>
  </si>
  <si>
    <t>QUADRO DE DISTRIBUIÇÃO DE ENERGIA EM CHAPA DE AÇO GALVANIZADO, DE EMBUTIR, COM BARRAMENTO TRIFÁSICO, PARA 24 DISJUNTORES DIN 100A - FORNECIMENTO E INSTALAÇÃO. AF_10/2020</t>
  </si>
  <si>
    <t>21.21</t>
  </si>
  <si>
    <t>ATERRAMENTO</t>
  </si>
  <si>
    <t>21.22</t>
  </si>
  <si>
    <t>24</t>
  </si>
  <si>
    <t xml:space="preserve">INST. HIDROSSANITÁRIAS </t>
  </si>
  <si>
    <t>22.1</t>
  </si>
  <si>
    <t>22.1.1</t>
  </si>
  <si>
    <t>22.1.2</t>
  </si>
  <si>
    <t>22.1.3</t>
  </si>
  <si>
    <t>22.1.4</t>
  </si>
  <si>
    <t>22.1.5</t>
  </si>
  <si>
    <t>22.1.6</t>
  </si>
  <si>
    <t>22.1.7</t>
  </si>
  <si>
    <t>22.1.8</t>
  </si>
  <si>
    <t>22.1.9</t>
  </si>
  <si>
    <t>22.1.10</t>
  </si>
  <si>
    <t>22.1.11</t>
  </si>
  <si>
    <t>22.1.12</t>
  </si>
  <si>
    <t>22.1.13</t>
  </si>
  <si>
    <t>22.1.14</t>
  </si>
  <si>
    <t>22.2</t>
  </si>
  <si>
    <t>22.2.1</t>
  </si>
  <si>
    <t>22.2.2</t>
  </si>
  <si>
    <t>22.2.3</t>
  </si>
  <si>
    <t>22.2.4</t>
  </si>
  <si>
    <t>22.2.5</t>
  </si>
  <si>
    <t>22.2.6</t>
  </si>
  <si>
    <t>22.2.7</t>
  </si>
  <si>
    <t>22.2.8</t>
  </si>
  <si>
    <t>22.2.9</t>
  </si>
  <si>
    <t>22.2.10</t>
  </si>
  <si>
    <t>22.2.11</t>
  </si>
  <si>
    <t>22.2.12</t>
  </si>
  <si>
    <t>22.2.13</t>
  </si>
  <si>
    <t>22.2.14</t>
  </si>
  <si>
    <t>89796</t>
  </si>
  <si>
    <t>TE, PVC, SERIE NORMAL, ESGOTO PREDIAL, DN 100 X 100 MM, JUNTA ELÁSTICA, FORNECIDO E INSTALADO EM RAMAL DE DESCARGA OU RAMAL DE ESGOTO SANITÁRIO. AF_12/2014</t>
  </si>
  <si>
    <t>22.2.15</t>
  </si>
  <si>
    <t>22.2.16</t>
  </si>
  <si>
    <t>22.3</t>
  </si>
  <si>
    <t>22.3.1</t>
  </si>
  <si>
    <t>22.3.2</t>
  </si>
  <si>
    <t>22.3.3</t>
  </si>
  <si>
    <t>22.3.4</t>
  </si>
  <si>
    <t>BANCADA BWC</t>
  </si>
  <si>
    <t>22.3.5</t>
  </si>
  <si>
    <t>22.3.6</t>
  </si>
  <si>
    <t>86915</t>
  </si>
  <si>
    <t>TORNEIRA CROMADA DE MESA, 1/2 OU 3/4, PARA LAVATÓRIO, PADRÃO MÉDIO - FORNECIMENTO E INSTALAÇÃO. AF_01/2020</t>
  </si>
  <si>
    <t>22.3.7</t>
  </si>
  <si>
    <t>22.3.8</t>
  </si>
  <si>
    <t>22.3.9</t>
  </si>
  <si>
    <t>22.3.10</t>
  </si>
  <si>
    <t>22.3.11</t>
  </si>
  <si>
    <t>22.3.12</t>
  </si>
  <si>
    <t>22.3.13</t>
  </si>
  <si>
    <t>ESPELHOS - 1,0X0,6M E 0,6X0,6M</t>
  </si>
  <si>
    <t>25</t>
  </si>
  <si>
    <t>26</t>
  </si>
  <si>
    <t>LIMPEZA E RCC</t>
  </si>
  <si>
    <r>
      <rPr>
        <sz val="10"/>
        <color rgb="FF000000"/>
        <rFont val="Calibri"/>
        <family val="2"/>
      </rPr>
      <t xml:space="preserve">99803
</t>
    </r>
    <r>
      <rPr>
        <i/>
        <sz val="10"/>
        <color rgb="FF000000"/>
        <rFont val="Calibri"/>
        <family val="2"/>
      </rPr>
      <t>ADAPTADO</t>
    </r>
  </si>
  <si>
    <t>COMPOSIÇÕES UENP</t>
  </si>
  <si>
    <t>COMP.01</t>
  </si>
  <si>
    <t>FIXAÇÃO APOIO DE TESOURA METÁLICA COM CHAPA DE AÇO, PARAFUSOS CHUMBADORES, FORNECIMENTO E INSTALAÇÃO</t>
  </si>
  <si>
    <t>QNT.</t>
  </si>
  <si>
    <t>MAT. + EQUIP.</t>
  </si>
  <si>
    <t>VALOR UNITÁRIO</t>
  </si>
  <si>
    <t>VALOR TOTAL</t>
  </si>
  <si>
    <t>kg</t>
  </si>
  <si>
    <t>CHUMBADOR DE ACO, DIAMETRO 1/2", COMPRIMENTO 75 MM</t>
  </si>
  <si>
    <t>MONTADOR DE ESTRUTURA METÁLICA COM ENCARGOS COMPLEMENTARES</t>
  </si>
  <si>
    <t>H</t>
  </si>
  <si>
    <t>SERVENTE COM ENCARGOS COMPLEMENTARES</t>
  </si>
  <si>
    <t>Total</t>
  </si>
  <si>
    <t>COMP.02</t>
  </si>
  <si>
    <t>FABRICAÇÃO E INSTALAÇÃO DE TERÇA METÁLICA PARA COBERTURA, PERFIL UE 75x25x15x2.65mm - 2.78 kg/m</t>
  </si>
  <si>
    <t>PERFIL "U" SIMPLES DE ACO GALVANIZADO DOBRADO 75 X *40* MM, E = 2,65 MM</t>
  </si>
  <si>
    <t>COMP.03</t>
  </si>
  <si>
    <t>PANO DE VIDRO, COM VIDRO 8MM</t>
  </si>
  <si>
    <t>VIDRO TEMPERADO INCOLOR PARA PORTA DE ABRIR, E = 10 MM (SEM FERRAGENS E SEM COLOCACAO)</t>
  </si>
  <si>
    <t>CONTRAMARCO DE ALUMÍNIO, FIXAÇÃO COM PARAFUSO - FORNECIMENTO E INSTALAÇÃO. AF_12/2019</t>
  </si>
  <si>
    <t>PERFIL MONTANTE, FORMATO C, EM ACO ZINCADO, PARA ESTRUTURA PAREDE DRYWALL, E = 0,5 MM, 48 X 3000 MM (L X C)</t>
  </si>
  <si>
    <t>PARAFUSO DE ACO ZINCADO COM ROSCA SOBERBA, CABECA CHATA E FENDA SIMPLES, DIAMETRO 4,2 MM, COMPRIMENTO * 32 * MM</t>
  </si>
  <si>
    <t>SILICONE ACETICO USO GERAL INCOLOR 280 G</t>
  </si>
  <si>
    <t>VIDRACEIRO COM ENCARGOS COMPLEMENTARES</t>
  </si>
  <si>
    <t>COMP.04</t>
  </si>
  <si>
    <t>GRANITO PARA BANCADAS</t>
  </si>
  <si>
    <t>ARGAMASSA COLANTE AC I PARA CERAMICAS</t>
  </si>
  <si>
    <t>MASSA PLASTICA PARA MARMORE/GRANITO</t>
  </si>
  <si>
    <t>AZULEJISTA OU LADRILHISTA COM ENCARGOS COMPLEMENTARES</t>
  </si>
  <si>
    <t>COMP.05</t>
  </si>
  <si>
    <t>JUNTA PLASTICA DE DILATACAO PARA PISOS, COR CINZA, 17 X 3 MM (ALTURA X ESPESSURA)</t>
  </si>
  <si>
    <t>GRANILHA/ GRANA/ PEDRISCO OU AGREGADO EM MARMORE/ GRANITO/ QUARTZO E CALCARIO, PRETO, CINZA, PALHA OU BRANCO</t>
  </si>
  <si>
    <t>ARGAMASSA TRAÇO 1:3 (EM VOLUME DE CIMENTO E AREIA MÉDIA ÚMIDA) PARA CONTRAPISO, PREPARO MECÂNICO COM BETONEIRA 400 L. AF_08/2019</t>
  </si>
  <si>
    <t>M3</t>
  </si>
  <si>
    <t>PEDREIRO COM ENCARGOS COMPLEMENTARES</t>
  </si>
  <si>
    <t>POLIDORA DE PISO (POLITRIZ), PESO DE 100KG, DIÂMETRO 450 MM, MOTOR ELÉTRICO, POTÊNCIA 4 HP - CHP DIURNO. AF_09/2016</t>
  </si>
  <si>
    <t>CHP</t>
  </si>
  <si>
    <t>POLIDORA DE PISO (POLITRIZ), PESO DE 100KG, DIÂMETRO 450 MM, MOTOR ELÉTRICO, POTÊNCIA 4 HP - CHI DIURNO. AF_09/2016</t>
  </si>
  <si>
    <t>CHI</t>
  </si>
  <si>
    <t>MO</t>
  </si>
  <si>
    <t>MAT</t>
  </si>
  <si>
    <t>PRANCHAO APARELHADO *7,5 X 23* CM, EM MACARANDUBA, ANGELIM OU EQUIVALENTE DA REGIAO</t>
  </si>
  <si>
    <t>VERNIZ A BASE RESINA ALQUIDICA COM POLIURETANO PARA MADEIRA, COM FILTRO SOLAR, BRILHANTE, USO INTERNO E EXTERNO</t>
  </si>
  <si>
    <t>L</t>
  </si>
  <si>
    <t>CONCRETO FCK = 15MPA, TRAÇO 1:3,4:3,5 (CIMENTO/ AREIA MÉDIA/ BRITA 1) - PREPARO MECÂNICO COM BETONEIRA 400 L. AF_07/2016</t>
  </si>
  <si>
    <t>MONTAGEM E DESMONTAGEM DE FÔRMA DE PILARES RETANGULARES E ESTRUTURAS SIMILARES, PÉ-DIREITO SIMPLES, EM MADEIRA SERRADA, 2 UTILIZAÇÕES. AF_09/2020</t>
  </si>
  <si>
    <t>ESTUCAMENTO DE PANOS DE FACHADA SEM VÃOS DO SISTEMA DE PAREDES DE CONCRETO EM EDIFICAÇÕES DE MÚLTIPLOS PAVIMENTOS. AF_06/2015</t>
  </si>
  <si>
    <t>PARAFUSO FRANCES M16 EM ACO GALVANIZADO, COMPRIMENTO = 150 MM, DIAMETRO = 16 MM, CABECA ABAULADA</t>
  </si>
  <si>
    <t>h</t>
  </si>
  <si>
    <t>PINO DE ACO COM ARRUELA CONICA, DIAMETRO ARRUELA = *23* MM E COMP HASTE = *27* MM (ACAO INDIRETA)</t>
  </si>
  <si>
    <t>CENTO</t>
  </si>
  <si>
    <t>PLACA / CHAPA DE GESSO ACARTONADO, RESISTENTE A UMIDADE (RU), COR VERDE, E = 12,5 MM, 1200 X 2400 MM (L X C)</t>
  </si>
  <si>
    <t>M2</t>
  </si>
  <si>
    <t>PERFIL GUIA, FORMATO U, EM ACO ZINCADO, PARA ESTRUTURA PAREDE DRYWALL, E = 0,5 MM, 70 X 3000 MM (L X C)</t>
  </si>
  <si>
    <t>PERFIL MONTANTE, FORMATO C, EM ACO ZINCADO, PARA ESTRUTURA PAREDE DRYWALL, E = 0,5 MM, 70 X 3000 MM (L X C)</t>
  </si>
  <si>
    <t>FITA DE PAPEL MICROPERFURADO, 50 X 150 MM, PARA TRATAMENTO DE JUNTAS DE CHAPA DE GESSO PARA DRYWALL</t>
  </si>
  <si>
    <t>FITA DE PAPEL REFORCADA COM LAMINA DE METAL PARA REFORCO DE CANTOS DE CHAPA DE GESSO PARA DRYWALL</t>
  </si>
  <si>
    <t>MASSA DE REJUNTE EM PO PARA DRYWALL, A BASE DE GESSO, SECAGEM RAPIDA, PARA TRATAMENTO DE JUNTAS DE CHAPA DE GESSO (COM ADICAO DE AGUA)</t>
  </si>
  <si>
    <t>PARAFUSO DRY WALL, EM ACO FOSFATIZADO, CABECA TROMBETA E PONTA AGULHA (TA), COMPRIMENTO 25 MM</t>
  </si>
  <si>
    <t>PARAFUSO DRY WALL, EM ACO ZINCADO, CABECA LENTILHA E PONTA BROCA (LB), LARGURA 4,2 MM, COMPRIMENTO 13 MM</t>
  </si>
  <si>
    <t>CRONOGRAMA FÍSICO- FINANCEIRO</t>
  </si>
  <si>
    <t>SERVIÇO/LOCAL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</si>
  <si>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</si>
  <si>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</si>
  <si>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</si>
  <si>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</si>
  <si>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</si>
  <si>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</si>
  <si>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</si>
  <si>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</si>
  <si>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Valores</t>
  </si>
  <si>
    <t>%</t>
  </si>
  <si>
    <t>R$</t>
  </si>
  <si>
    <t>ADEQUAÇÃO PRÉDIO CENTRAL</t>
  </si>
  <si>
    <t>R$ parcial (valor período)</t>
  </si>
  <si>
    <t>%_parcial  (período)</t>
  </si>
  <si>
    <t>R$_ acumulado</t>
  </si>
  <si>
    <t>%_acumulado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</si>
  <si>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</si>
  <si>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</si>
  <si>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</si>
  <si>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</si>
  <si>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</si>
  <si>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</si>
  <si>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</si>
  <si>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</si>
  <si>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</si>
  <si>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</si>
  <si>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</si>
  <si>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</si>
  <si>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OK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</si>
  <si>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</si>
  <si>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</si>
  <si>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</si>
  <si>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</si>
  <si>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</si>
  <si>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</si>
  <si>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</si>
  <si>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</si>
  <si>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</si>
  <si>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</si>
  <si>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</si>
  <si>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</si>
  <si>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</si>
  <si>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</si>
  <si>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</si>
  <si>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</si>
  <si>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</si>
  <si>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</si>
  <si>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</si>
  <si>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R: TAXA DE RISCOS</t>
  </si>
  <si>
    <t>Com CPRB</t>
  </si>
  <si>
    <t>DF: TAXA DE DESPESAS</t>
  </si>
  <si>
    <t>L: TAXA DE LUCRO</t>
  </si>
  <si>
    <t>I: TAXA DE INCIDÊNCIA DE IMPOSTOS (PIS, COFINS, ISS, CPRB)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</si>
</sst>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[$R$-416]\ #,##0.00;[Red]\-[$R$-416]\ #,##0.00"/>
    <numFmt numFmtId="165" formatCode="[$R$ -416]#,##0.00"/>
    <numFmt numFmtId="166" formatCode="#,##0.00_ ;\-#,##0.00\ "/>
    <numFmt numFmtId="167" formatCode="0.0%"/>
    <numFmt numFmtId="168" formatCode="_-&quot;R$ &quot;* #,##0.00_-;&quot;-R$ &quot;* #,##0.00_-;_-&quot;R$ &quot;* \-??_-;_-@"/>
    <numFmt numFmtId="169" formatCode="d\.m"/>
  </numFmts>
  <fonts count="24" x14ac:knownFonts="1">
    <font>
      <sz val="10"/>
      <color rgb="FF000000"/>
      <name val="Calibri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C9211E"/>
      <name val="Calibri"/>
      <family val="2"/>
    </font>
    <font>
      <b/>
      <sz val="12"/>
      <color rgb="FFC9211E"/>
      <name val="Calibri"/>
      <family val="2"/>
    </font>
    <font>
      <sz val="12"/>
      <color rgb="FF000000"/>
      <name val="Calibri"/>
      <family val="2"/>
    </font>
    <font>
      <b/>
      <sz val="12"/>
      <color rgb="FF345168"/>
      <name val="Calibri"/>
      <family val="2"/>
    </font>
    <font>
      <b/>
      <sz val="12"/>
      <color rgb="FF000000"/>
      <name val="Calibri"/>
      <family val="2"/>
    </font>
    <font>
      <sz val="11"/>
      <color rgb="FFC9211E"/>
      <name val="Calibri"/>
      <family val="2"/>
    </font>
    <font>
      <sz val="8"/>
      <color rgb="FF000000"/>
      <name val="Calibri"/>
      <family val="2"/>
    </font>
    <font>
      <b/>
      <sz val="12"/>
      <color rgb="FFFFFFFF"/>
      <name val="Calibri"/>
      <family val="2"/>
    </font>
    <font>
      <b/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4"/>
      <color rgb="FFFFFFFF"/>
      <name val="Calibri"/>
      <family val="2"/>
    </font>
    <font>
      <i/>
      <sz val="8"/>
      <color rgb="FF000000"/>
      <name val="Calibri"/>
      <family val="2"/>
    </font>
    <font>
      <sz val="8"/>
      <color rgb="FF000000"/>
      <name val="Arial"/>
      <family val="2"/>
    </font>
    <font>
      <sz val="10"/>
      <color rgb="FF345168"/>
      <name val="Calibri"/>
      <family val="2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i/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C9DAF8"/>
        <bgColor rgb="FFC9DAF8"/>
      </patternFill>
    </fill>
    <fill>
      <patternFill patternType="solid">
        <fgColor rgb="FFFEF8E3"/>
        <bgColor rgb="FFFEF8E3"/>
      </patternFill>
    </fill>
    <fill>
      <patternFill patternType="solid">
        <fgColor rgb="FFFFE599"/>
        <bgColor rgb="FFFFE599"/>
      </patternFill>
    </fill>
    <fill>
      <patternFill patternType="solid">
        <fgColor rgb="FFDDDDDD"/>
        <bgColor rgb="FFDDDDDD"/>
      </patternFill>
    </fill>
    <fill>
      <patternFill patternType="solid">
        <fgColor rgb="FFD9D9D9"/>
        <bgColor rgb="FFD9D9D9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  <diagonal/>
    </border>
    <border>
      <left style="thin">
        <color rgb="FFFFF2CC"/>
      </left>
      <right/>
      <top style="thin">
        <color rgb="FFFFF2CC"/>
      </top>
      <bottom style="thin">
        <color rgb="FFFFF2CC"/>
      </bottom>
      <diagonal/>
    </border>
    <border>
      <left/>
      <right style="thin">
        <color rgb="FFFFF2CC"/>
      </right>
      <top style="thin">
        <color rgb="FFFFF2CC"/>
      </top>
      <bottom style="thin">
        <color rgb="FFFFF2CC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EF8E3"/>
      </left>
      <right style="thin">
        <color rgb="FFFEF8E3"/>
      </right>
      <top style="thin">
        <color rgb="FFFEF8E3"/>
      </top>
      <bottom/>
      <diagonal/>
    </border>
    <border>
      <left style="thin">
        <color rgb="FFFEF8E3"/>
      </left>
      <right/>
      <top style="thin">
        <color rgb="FFFEF8E3"/>
      </top>
      <bottom style="thin">
        <color rgb="FFFEF8E3"/>
      </bottom>
      <diagonal/>
    </border>
    <border>
      <left/>
      <right/>
      <top style="thin">
        <color rgb="FFFEF8E3"/>
      </top>
      <bottom style="thin">
        <color rgb="FFFEF8E3"/>
      </bottom>
      <diagonal/>
    </border>
    <border>
      <left/>
      <right style="thin">
        <color rgb="FFFEF8E3"/>
      </right>
      <top style="thin">
        <color rgb="FFFEF8E3"/>
      </top>
      <bottom style="thin">
        <color rgb="FFFEF8E3"/>
      </bottom>
      <diagonal/>
    </border>
    <border>
      <left style="thin">
        <color rgb="FFFEF8E3"/>
      </left>
      <right style="thin">
        <color rgb="FFFEF8E3"/>
      </right>
      <top/>
      <bottom style="thin">
        <color rgb="FFFEF8E3"/>
      </bottom>
      <diagonal/>
    </border>
    <border>
      <left style="thin">
        <color rgb="FFFEF8E3"/>
      </left>
      <right style="thin">
        <color rgb="FFFEF8E3"/>
      </right>
      <top style="thin">
        <color rgb="FFFEF8E3"/>
      </top>
      <bottom style="thin">
        <color rgb="FFFEF8E3"/>
      </bottom>
      <diagonal/>
    </border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3">
    <xf numFmtId="0" fontId="0" fillId="0" borderId="0" xfId="0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5" fillId="3" borderId="11" xfId="0" applyNumberFormat="1" applyFont="1" applyFill="1" applyBorder="1"/>
    <xf numFmtId="10" fontId="5" fillId="3" borderId="11" xfId="0" applyNumberFormat="1" applyFont="1" applyFill="1" applyBorder="1" applyAlignment="1">
      <alignment horizontal="right"/>
    </xf>
    <xf numFmtId="164" fontId="7" fillId="3" borderId="11" xfId="0" applyNumberFormat="1" applyFont="1" applyFill="1" applyBorder="1"/>
    <xf numFmtId="164" fontId="5" fillId="3" borderId="11" xfId="0" applyNumberFormat="1" applyFont="1" applyFill="1" applyBorder="1" applyAlignment="1">
      <alignment horizontal="right"/>
    </xf>
    <xf numFmtId="164" fontId="7" fillId="3" borderId="11" xfId="0" applyNumberFormat="1" applyFont="1" applyFill="1" applyBorder="1" applyAlignment="1">
      <alignment horizontal="right"/>
    </xf>
    <xf numFmtId="0" fontId="1" fillId="5" borderId="0" xfId="0" applyFont="1" applyFill="1" applyAlignment="1">
      <alignment horizontal="right" vertical="center"/>
    </xf>
    <xf numFmtId="4" fontId="1" fillId="0" borderId="0" xfId="0" applyNumberFormat="1" applyFont="1"/>
    <xf numFmtId="0" fontId="10" fillId="2" borderId="21" xfId="0" applyFont="1" applyFill="1" applyBorder="1" applyAlignment="1">
      <alignment horizontal="center" vertical="center"/>
    </xf>
    <xf numFmtId="49" fontId="11" fillId="6" borderId="22" xfId="0" applyNumberFormat="1" applyFont="1" applyFill="1" applyBorder="1" applyAlignment="1">
      <alignment horizontal="center"/>
    </xf>
    <xf numFmtId="0" fontId="11" fillId="6" borderId="22" xfId="0" applyFont="1" applyFill="1" applyBorder="1" applyAlignment="1">
      <alignment horizontal="left" vertical="center"/>
    </xf>
    <xf numFmtId="4" fontId="11" fillId="6" borderId="22" xfId="0" applyNumberFormat="1" applyFont="1" applyFill="1" applyBorder="1" applyAlignment="1">
      <alignment horizontal="left" vertical="center"/>
    </xf>
    <xf numFmtId="165" fontId="11" fillId="6" borderId="22" xfId="0" applyNumberFormat="1" applyFont="1" applyFill="1" applyBorder="1" applyAlignment="1">
      <alignment horizontal="center" vertical="center"/>
    </xf>
    <xf numFmtId="49" fontId="11" fillId="7" borderId="23" xfId="0" applyNumberFormat="1" applyFont="1" applyFill="1" applyBorder="1" applyAlignment="1">
      <alignment horizontal="center" vertical="center"/>
    </xf>
    <xf numFmtId="49" fontId="11" fillId="7" borderId="23" xfId="0" applyNumberFormat="1" applyFont="1" applyFill="1" applyBorder="1" applyAlignment="1">
      <alignment horizontal="left" vertical="center" wrapText="1"/>
    </xf>
    <xf numFmtId="0" fontId="11" fillId="7" borderId="23" xfId="0" applyFont="1" applyFill="1" applyBorder="1" applyAlignment="1">
      <alignment vertical="center" wrapText="1"/>
    </xf>
    <xf numFmtId="0" fontId="11" fillId="7" borderId="23" xfId="0" applyFont="1" applyFill="1" applyBorder="1" applyAlignment="1">
      <alignment horizontal="center" vertical="center"/>
    </xf>
    <xf numFmtId="165" fontId="11" fillId="7" borderId="23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right"/>
    </xf>
    <xf numFmtId="49" fontId="1" fillId="4" borderId="23" xfId="0" applyNumberFormat="1" applyFont="1" applyFill="1" applyBorder="1" applyAlignment="1">
      <alignment horizontal="center" vertical="center"/>
    </xf>
    <xf numFmtId="49" fontId="1" fillId="4" borderId="23" xfId="0" applyNumberFormat="1" applyFont="1" applyFill="1" applyBorder="1" applyAlignment="1">
      <alignment horizontal="left" vertical="center" wrapText="1"/>
    </xf>
    <xf numFmtId="0" fontId="1" fillId="4" borderId="23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horizontal="center" vertical="center"/>
    </xf>
    <xf numFmtId="4" fontId="1" fillId="4" borderId="23" xfId="0" applyNumberFormat="1" applyFont="1" applyFill="1" applyBorder="1" applyAlignment="1">
      <alignment horizontal="center" vertical="center"/>
    </xf>
    <xf numFmtId="165" fontId="1" fillId="4" borderId="23" xfId="0" applyNumberFormat="1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>
      <alignment horizontal="center"/>
    </xf>
    <xf numFmtId="0" fontId="11" fillId="3" borderId="23" xfId="0" applyFont="1" applyFill="1" applyBorder="1" applyAlignment="1">
      <alignment horizontal="left" wrapText="1"/>
    </xf>
    <xf numFmtId="0" fontId="11" fillId="3" borderId="23" xfId="0" applyFont="1" applyFill="1" applyBorder="1" applyAlignment="1">
      <alignment horizontal="left" vertical="center"/>
    </xf>
    <xf numFmtId="4" fontId="11" fillId="3" borderId="23" xfId="0" applyNumberFormat="1" applyFont="1" applyFill="1" applyBorder="1" applyAlignment="1">
      <alignment horizontal="left" vertical="center"/>
    </xf>
    <xf numFmtId="165" fontId="11" fillId="3" borderId="23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left" vertical="center" wrapText="1"/>
    </xf>
    <xf numFmtId="0" fontId="1" fillId="4" borderId="26" xfId="0" applyFont="1" applyFill="1" applyBorder="1" applyAlignment="1">
      <alignment vertical="center" wrapText="1"/>
    </xf>
    <xf numFmtId="0" fontId="1" fillId="4" borderId="26" xfId="0" applyFont="1" applyFill="1" applyBorder="1" applyAlignment="1">
      <alignment horizontal="center" vertical="center"/>
    </xf>
    <xf numFmtId="4" fontId="1" fillId="4" borderId="26" xfId="0" applyNumberFormat="1" applyFont="1" applyFill="1" applyBorder="1" applyAlignment="1">
      <alignment horizontal="center" vertical="center"/>
    </xf>
    <xf numFmtId="165" fontId="1" fillId="4" borderId="26" xfId="0" applyNumberFormat="1" applyFont="1" applyFill="1" applyBorder="1" applyAlignment="1">
      <alignment horizontal="center" vertical="center"/>
    </xf>
    <xf numFmtId="49" fontId="1" fillId="4" borderId="23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left" vertical="center" wrapText="1"/>
    </xf>
    <xf numFmtId="49" fontId="1" fillId="0" borderId="23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wrapText="1"/>
    </xf>
    <xf numFmtId="0" fontId="1" fillId="0" borderId="23" xfId="0" applyFont="1" applyBorder="1" applyAlignment="1">
      <alignment horizontal="center" vertical="center"/>
    </xf>
    <xf numFmtId="4" fontId="1" fillId="0" borderId="23" xfId="0" applyNumberFormat="1" applyFont="1" applyBorder="1" applyAlignment="1">
      <alignment horizontal="center" vertical="center"/>
    </xf>
    <xf numFmtId="0" fontId="11" fillId="3" borderId="23" xfId="0" applyFont="1" applyFill="1" applyBorder="1" applyAlignment="1">
      <alignment wrapText="1"/>
    </xf>
    <xf numFmtId="0" fontId="11" fillId="3" borderId="23" xfId="0" applyFont="1" applyFill="1" applyBorder="1" applyAlignment="1">
      <alignment horizontal="center" vertical="center"/>
    </xf>
    <xf numFmtId="4" fontId="11" fillId="3" borderId="23" xfId="0" applyNumberFormat="1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vertical="center" wrapText="1"/>
    </xf>
    <xf numFmtId="0" fontId="13" fillId="0" borderId="23" xfId="0" applyFont="1" applyBorder="1"/>
    <xf numFmtId="0" fontId="13" fillId="0" borderId="23" xfId="0" applyFont="1" applyBorder="1" applyAlignment="1">
      <alignment vertical="center"/>
    </xf>
    <xf numFmtId="4" fontId="11" fillId="7" borderId="23" xfId="0" applyNumberFormat="1" applyFont="1" applyFill="1" applyBorder="1" applyAlignment="1">
      <alignment horizontal="center" vertical="center"/>
    </xf>
    <xf numFmtId="49" fontId="11" fillId="8" borderId="23" xfId="0" applyNumberFormat="1" applyFont="1" applyFill="1" applyBorder="1" applyAlignment="1">
      <alignment horizontal="center"/>
    </xf>
    <xf numFmtId="0" fontId="11" fillId="8" borderId="23" xfId="0" applyFont="1" applyFill="1" applyBorder="1" applyAlignment="1">
      <alignment horizontal="center" vertical="center"/>
    </xf>
    <xf numFmtId="4" fontId="11" fillId="8" borderId="23" xfId="0" applyNumberFormat="1" applyFont="1" applyFill="1" applyBorder="1" applyAlignment="1">
      <alignment horizontal="center" vertical="center"/>
    </xf>
    <xf numFmtId="165" fontId="11" fillId="8" borderId="23" xfId="0" applyNumberFormat="1" applyFont="1" applyFill="1" applyBorder="1" applyAlignment="1">
      <alignment horizontal="center" vertical="center"/>
    </xf>
    <xf numFmtId="49" fontId="1" fillId="3" borderId="23" xfId="0" applyNumberFormat="1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horizontal="center" vertical="center"/>
    </xf>
    <xf numFmtId="4" fontId="1" fillId="3" borderId="23" xfId="0" applyNumberFormat="1" applyFont="1" applyFill="1" applyBorder="1" applyAlignment="1">
      <alignment horizontal="center" vertical="center"/>
    </xf>
    <xf numFmtId="165" fontId="1" fillId="3" borderId="23" xfId="0" applyNumberFormat="1" applyFont="1" applyFill="1" applyBorder="1" applyAlignment="1">
      <alignment horizontal="center" vertical="center"/>
    </xf>
    <xf numFmtId="49" fontId="13" fillId="4" borderId="22" xfId="0" applyNumberFormat="1" applyFont="1" applyFill="1" applyBorder="1" applyAlignment="1">
      <alignment horizontal="center"/>
    </xf>
    <xf numFmtId="166" fontId="13" fillId="4" borderId="22" xfId="0" applyNumberFormat="1" applyFont="1" applyFill="1" applyBorder="1" applyAlignment="1">
      <alignment vertical="center" wrapText="1"/>
    </xf>
    <xf numFmtId="49" fontId="14" fillId="4" borderId="22" xfId="0" applyNumberFormat="1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wrapText="1"/>
    </xf>
    <xf numFmtId="0" fontId="13" fillId="4" borderId="22" xfId="0" applyFont="1" applyFill="1" applyBorder="1" applyAlignment="1">
      <alignment horizontal="center"/>
    </xf>
    <xf numFmtId="2" fontId="13" fillId="4" borderId="22" xfId="0" applyNumberFormat="1" applyFont="1" applyFill="1" applyBorder="1" applyAlignment="1">
      <alignment horizontal="center"/>
    </xf>
    <xf numFmtId="164" fontId="13" fillId="4" borderId="22" xfId="0" applyNumberFormat="1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49" fontId="1" fillId="4" borderId="22" xfId="0" applyNumberFormat="1" applyFont="1" applyFill="1" applyBorder="1" applyAlignment="1">
      <alignment horizontal="center" vertical="center"/>
    </xf>
    <xf numFmtId="49" fontId="1" fillId="4" borderId="22" xfId="0" applyNumberFormat="1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horizontal="center" vertical="center"/>
    </xf>
    <xf numFmtId="4" fontId="1" fillId="4" borderId="22" xfId="0" applyNumberFormat="1" applyFont="1" applyFill="1" applyBorder="1" applyAlignment="1">
      <alignment horizontal="center" vertical="center"/>
    </xf>
    <xf numFmtId="165" fontId="1" fillId="4" borderId="22" xfId="0" applyNumberFormat="1" applyFont="1" applyFill="1" applyBorder="1" applyAlignment="1">
      <alignment horizontal="center" vertical="center"/>
    </xf>
    <xf numFmtId="49" fontId="15" fillId="3" borderId="23" xfId="0" applyNumberFormat="1" applyFont="1" applyFill="1" applyBorder="1" applyAlignment="1">
      <alignment horizontal="center"/>
    </xf>
    <xf numFmtId="0" fontId="13" fillId="3" borderId="29" xfId="0" applyFont="1" applyFill="1" applyBorder="1"/>
    <xf numFmtId="4" fontId="13" fillId="3" borderId="29" xfId="0" applyNumberFormat="1" applyFont="1" applyFill="1" applyBorder="1"/>
    <xf numFmtId="165" fontId="13" fillId="3" borderId="29" xfId="0" applyNumberFormat="1" applyFont="1" applyFill="1" applyBorder="1"/>
    <xf numFmtId="49" fontId="1" fillId="4" borderId="29" xfId="0" applyNumberFormat="1" applyFont="1" applyFill="1" applyBorder="1" applyAlignment="1">
      <alignment horizontal="left" vertical="center" wrapText="1"/>
    </xf>
    <xf numFmtId="49" fontId="1" fillId="4" borderId="29" xfId="0" applyNumberFormat="1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vertical="center" wrapText="1"/>
    </xf>
    <xf numFmtId="0" fontId="1" fillId="4" borderId="29" xfId="0" applyFont="1" applyFill="1" applyBorder="1" applyAlignment="1">
      <alignment horizontal="center" vertical="center"/>
    </xf>
    <xf numFmtId="4" fontId="1" fillId="4" borderId="29" xfId="0" applyNumberFormat="1" applyFont="1" applyFill="1" applyBorder="1" applyAlignment="1">
      <alignment horizontal="center" vertical="center"/>
    </xf>
    <xf numFmtId="165" fontId="1" fillId="4" borderId="29" xfId="0" applyNumberFormat="1" applyFont="1" applyFill="1" applyBorder="1" applyAlignment="1">
      <alignment horizontal="center" vertical="center"/>
    </xf>
    <xf numFmtId="49" fontId="13" fillId="4" borderId="22" xfId="0" applyNumberFormat="1" applyFont="1" applyFill="1" applyBorder="1" applyAlignment="1">
      <alignment wrapText="1"/>
    </xf>
    <xf numFmtId="4" fontId="13" fillId="4" borderId="22" xfId="0" applyNumberFormat="1" applyFont="1" applyFill="1" applyBorder="1"/>
    <xf numFmtId="165" fontId="13" fillId="4" borderId="22" xfId="0" applyNumberFormat="1" applyFont="1" applyFill="1" applyBorder="1"/>
    <xf numFmtId="165" fontId="11" fillId="6" borderId="22" xfId="0" applyNumberFormat="1" applyFont="1" applyFill="1" applyBorder="1" applyAlignment="1">
      <alignment horizontal="right"/>
    </xf>
    <xf numFmtId="165" fontId="11" fillId="6" borderId="22" xfId="0" applyNumberFormat="1" applyFont="1" applyFill="1" applyBorder="1" applyAlignment="1">
      <alignment horizontal="left"/>
    </xf>
    <xf numFmtId="165" fontId="11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left"/>
    </xf>
    <xf numFmtId="49" fontId="1" fillId="4" borderId="26" xfId="0" applyNumberFormat="1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right"/>
    </xf>
    <xf numFmtId="0" fontId="1" fillId="4" borderId="22" xfId="0" applyFont="1" applyFill="1" applyBorder="1"/>
    <xf numFmtId="0" fontId="11" fillId="0" borderId="0" xfId="0" applyFont="1" applyAlignment="1">
      <alignment horizontal="right"/>
    </xf>
    <xf numFmtId="165" fontId="11" fillId="0" borderId="30" xfId="0" applyNumberFormat="1" applyFont="1" applyBorder="1" applyAlignment="1">
      <alignment horizontal="right"/>
    </xf>
    <xf numFmtId="165" fontId="11" fillId="0" borderId="31" xfId="0" applyNumberFormat="1" applyFont="1" applyBorder="1" applyAlignment="1">
      <alignment horizontal="left"/>
    </xf>
    <xf numFmtId="49" fontId="1" fillId="0" borderId="23" xfId="0" applyNumberFormat="1" applyFont="1" applyBorder="1" applyAlignment="1">
      <alignment horizontal="center" vertical="center" wrapText="1"/>
    </xf>
    <xf numFmtId="165" fontId="11" fillId="0" borderId="0" xfId="0" applyNumberFormat="1" applyFont="1"/>
    <xf numFmtId="49" fontId="13" fillId="4" borderId="31" xfId="0" applyNumberFormat="1" applyFont="1" applyFill="1" applyBorder="1" applyAlignment="1">
      <alignment horizontal="center" vertical="center"/>
    </xf>
    <xf numFmtId="49" fontId="13" fillId="4" borderId="31" xfId="0" applyNumberFormat="1" applyFont="1" applyFill="1" applyBorder="1" applyAlignment="1">
      <alignment vertical="center" wrapText="1"/>
    </xf>
    <xf numFmtId="49" fontId="13" fillId="4" borderId="31" xfId="0" applyNumberFormat="1" applyFont="1" applyFill="1" applyBorder="1" applyAlignment="1">
      <alignment horizontal="center" vertical="center" wrapText="1"/>
    </xf>
    <xf numFmtId="0" fontId="13" fillId="4" borderId="31" xfId="0" applyFont="1" applyFill="1" applyBorder="1" applyAlignment="1">
      <alignment vertical="center" wrapText="1"/>
    </xf>
    <xf numFmtId="0" fontId="13" fillId="4" borderId="31" xfId="0" applyFont="1" applyFill="1" applyBorder="1" applyAlignment="1">
      <alignment horizontal="center" vertical="center"/>
    </xf>
    <xf numFmtId="4" fontId="13" fillId="4" borderId="31" xfId="0" applyNumberFormat="1" applyFont="1" applyFill="1" applyBorder="1" applyAlignment="1">
      <alignment horizontal="center" vertical="center"/>
    </xf>
    <xf numFmtId="165" fontId="13" fillId="4" borderId="31" xfId="0" applyNumberFormat="1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right" vertical="center"/>
    </xf>
    <xf numFmtId="0" fontId="13" fillId="4" borderId="22" xfId="0" applyFont="1" applyFill="1" applyBorder="1" applyAlignment="1">
      <alignment vertical="center"/>
    </xf>
    <xf numFmtId="0" fontId="13" fillId="0" borderId="23" xfId="0" applyFont="1" applyBorder="1" applyAlignment="1">
      <alignment vertical="center" wrapText="1"/>
    </xf>
    <xf numFmtId="165" fontId="11" fillId="3" borderId="22" xfId="0" applyNumberFormat="1" applyFont="1" applyFill="1" applyBorder="1" applyAlignment="1">
      <alignment horizontal="right"/>
    </xf>
    <xf numFmtId="165" fontId="11" fillId="3" borderId="22" xfId="0" applyNumberFormat="1" applyFont="1" applyFill="1" applyBorder="1"/>
    <xf numFmtId="49" fontId="11" fillId="7" borderId="23" xfId="0" applyNumberFormat="1" applyFont="1" applyFill="1" applyBorder="1" applyAlignment="1">
      <alignment horizontal="center" vertical="center" wrapText="1"/>
    </xf>
    <xf numFmtId="0" fontId="11" fillId="4" borderId="22" xfId="0" applyFont="1" applyFill="1" applyBorder="1"/>
    <xf numFmtId="165" fontId="15" fillId="4" borderId="22" xfId="0" applyNumberFormat="1" applyFont="1" applyFill="1" applyBorder="1" applyAlignment="1">
      <alignment horizontal="right" vertical="center"/>
    </xf>
    <xf numFmtId="165" fontId="15" fillId="4" borderId="22" xfId="0" applyNumberFormat="1" applyFont="1" applyFill="1" applyBorder="1" applyAlignment="1">
      <alignment vertical="center"/>
    </xf>
    <xf numFmtId="0" fontId="15" fillId="4" borderId="22" xfId="0" applyFont="1" applyFill="1" applyBorder="1" applyAlignment="1">
      <alignment horizontal="right" vertical="center"/>
    </xf>
    <xf numFmtId="49" fontId="13" fillId="2" borderId="22" xfId="0" applyNumberFormat="1" applyFont="1" applyFill="1" applyBorder="1"/>
    <xf numFmtId="0" fontId="16" fillId="2" borderId="32" xfId="0" applyFont="1" applyFill="1" applyBorder="1" applyAlignment="1">
      <alignment wrapText="1"/>
    </xf>
    <xf numFmtId="0" fontId="6" fillId="2" borderId="32" xfId="0" applyFont="1" applyFill="1" applyBorder="1" applyAlignment="1">
      <alignment horizontal="center" wrapText="1"/>
    </xf>
    <xf numFmtId="0" fontId="13" fillId="2" borderId="22" xfId="0" applyFont="1" applyFill="1" applyBorder="1"/>
    <xf numFmtId="0" fontId="13" fillId="0" borderId="0" xfId="0" applyFont="1"/>
    <xf numFmtId="0" fontId="13" fillId="4" borderId="3" xfId="0" applyFont="1" applyFill="1" applyBorder="1"/>
    <xf numFmtId="0" fontId="13" fillId="4" borderId="22" xfId="0" applyFont="1" applyFill="1" applyBorder="1"/>
    <xf numFmtId="164" fontId="13" fillId="4" borderId="22" xfId="0" applyNumberFormat="1" applyFont="1" applyFill="1" applyBorder="1"/>
    <xf numFmtId="0" fontId="16" fillId="4" borderId="22" xfId="0" applyFont="1" applyFill="1" applyBorder="1" applyAlignment="1">
      <alignment horizontal="center"/>
    </xf>
    <xf numFmtId="0" fontId="16" fillId="4" borderId="22" xfId="0" applyFont="1" applyFill="1" applyBorder="1" applyAlignment="1">
      <alignment wrapText="1"/>
    </xf>
    <xf numFmtId="0" fontId="9" fillId="4" borderId="22" xfId="0" applyFont="1" applyFill="1" applyBorder="1" applyAlignment="1">
      <alignment horizontal="center" wrapText="1"/>
    </xf>
    <xf numFmtId="0" fontId="16" fillId="9" borderId="22" xfId="0" applyFont="1" applyFill="1" applyBorder="1" applyAlignment="1">
      <alignment horizontal="center"/>
    </xf>
    <xf numFmtId="0" fontId="16" fillId="9" borderId="31" xfId="0" applyFont="1" applyFill="1" applyBorder="1" applyAlignment="1">
      <alignment wrapText="1"/>
    </xf>
    <xf numFmtId="0" fontId="9" fillId="9" borderId="31" xfId="0" applyFont="1" applyFill="1" applyBorder="1" applyAlignment="1">
      <alignment horizontal="center" wrapText="1"/>
    </xf>
    <xf numFmtId="0" fontId="13" fillId="9" borderId="31" xfId="0" applyFont="1" applyFill="1" applyBorder="1"/>
    <xf numFmtId="0" fontId="16" fillId="0" borderId="31" xfId="0" applyFont="1" applyBorder="1" applyAlignment="1">
      <alignment horizontal="center"/>
    </xf>
    <xf numFmtId="0" fontId="16" fillId="0" borderId="31" xfId="0" applyFont="1" applyBorder="1" applyAlignment="1">
      <alignment horizontal="center" wrapText="1"/>
    </xf>
    <xf numFmtId="0" fontId="18" fillId="0" borderId="31" xfId="0" applyFont="1" applyBorder="1" applyAlignment="1">
      <alignment horizontal="center"/>
    </xf>
    <xf numFmtId="0" fontId="9" fillId="0" borderId="31" xfId="0" applyFont="1" applyBorder="1" applyAlignment="1">
      <alignment wrapText="1"/>
    </xf>
    <xf numFmtId="0" fontId="9" fillId="0" borderId="31" xfId="0" applyFont="1" applyBorder="1" applyAlignment="1">
      <alignment horizontal="center" wrapText="1"/>
    </xf>
    <xf numFmtId="2" fontId="9" fillId="0" borderId="31" xfId="0" applyNumberFormat="1" applyFont="1" applyBorder="1" applyAlignment="1">
      <alignment horizontal="center" wrapText="1"/>
    </xf>
    <xf numFmtId="165" fontId="9" fillId="0" borderId="31" xfId="0" applyNumberFormat="1" applyFont="1" applyBorder="1" applyAlignment="1">
      <alignment horizontal="center" wrapText="1"/>
    </xf>
    <xf numFmtId="165" fontId="9" fillId="0" borderId="31" xfId="0" applyNumberFormat="1" applyFont="1" applyBorder="1" applyAlignment="1">
      <alignment horizontal="center"/>
    </xf>
    <xf numFmtId="0" fontId="13" fillId="0" borderId="31" xfId="0" applyFont="1" applyBorder="1"/>
    <xf numFmtId="0" fontId="13" fillId="0" borderId="31" xfId="0" applyFont="1" applyBorder="1" applyAlignment="1">
      <alignment horizontal="right"/>
    </xf>
    <xf numFmtId="165" fontId="16" fillId="0" borderId="31" xfId="0" applyNumberFormat="1" applyFont="1" applyBorder="1" applyAlignment="1">
      <alignment horizontal="center"/>
    </xf>
    <xf numFmtId="0" fontId="16" fillId="9" borderId="36" xfId="0" applyFont="1" applyFill="1" applyBorder="1" applyAlignment="1">
      <alignment horizontal="center"/>
    </xf>
    <xf numFmtId="0" fontId="16" fillId="9" borderId="37" xfId="0" applyFont="1" applyFill="1" applyBorder="1" applyAlignment="1">
      <alignment wrapText="1"/>
    </xf>
    <xf numFmtId="0" fontId="9" fillId="9" borderId="37" xfId="0" applyFont="1" applyFill="1" applyBorder="1" applyAlignment="1">
      <alignment horizontal="center" wrapText="1"/>
    </xf>
    <xf numFmtId="0" fontId="13" fillId="9" borderId="37" xfId="0" applyFont="1" applyFill="1" applyBorder="1"/>
    <xf numFmtId="0" fontId="16" fillId="0" borderId="38" xfId="0" applyFont="1" applyBorder="1" applyAlignment="1">
      <alignment horizontal="center"/>
    </xf>
    <xf numFmtId="0" fontId="16" fillId="0" borderId="15" xfId="0" applyFont="1" applyBorder="1" applyAlignment="1">
      <alignment horizontal="center" wrapText="1"/>
    </xf>
    <xf numFmtId="0" fontId="16" fillId="0" borderId="15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9" fillId="0" borderId="15" xfId="0" applyFont="1" applyBorder="1" applyAlignment="1">
      <alignment wrapText="1"/>
    </xf>
    <xf numFmtId="0" fontId="9" fillId="0" borderId="15" xfId="0" applyFont="1" applyBorder="1" applyAlignment="1">
      <alignment horizontal="center" wrapText="1"/>
    </xf>
    <xf numFmtId="2" fontId="9" fillId="0" borderId="15" xfId="0" applyNumberFormat="1" applyFont="1" applyBorder="1" applyAlignment="1">
      <alignment horizontal="center" wrapText="1"/>
    </xf>
    <xf numFmtId="165" fontId="9" fillId="0" borderId="15" xfId="0" applyNumberFormat="1" applyFont="1" applyBorder="1" applyAlignment="1">
      <alignment horizontal="center" wrapText="1"/>
    </xf>
    <xf numFmtId="165" fontId="9" fillId="0" borderId="15" xfId="0" applyNumberFormat="1" applyFont="1" applyBorder="1" applyAlignment="1">
      <alignment horizontal="center"/>
    </xf>
    <xf numFmtId="0" fontId="13" fillId="0" borderId="10" xfId="0" applyFont="1" applyBorder="1"/>
    <xf numFmtId="0" fontId="13" fillId="0" borderId="15" xfId="0" applyFont="1" applyBorder="1"/>
    <xf numFmtId="0" fontId="13" fillId="0" borderId="15" xfId="0" applyFont="1" applyBorder="1" applyAlignment="1">
      <alignment horizontal="right"/>
    </xf>
    <xf numFmtId="165" fontId="16" fillId="0" borderId="15" xfId="0" applyNumberFormat="1" applyFont="1" applyBorder="1" applyAlignment="1">
      <alignment horizontal="center"/>
    </xf>
    <xf numFmtId="0" fontId="18" fillId="4" borderId="31" xfId="0" applyFont="1" applyFill="1" applyBorder="1" applyAlignment="1">
      <alignment horizontal="center"/>
    </xf>
    <xf numFmtId="0" fontId="9" fillId="4" borderId="31" xfId="0" applyFont="1" applyFill="1" applyBorder="1" applyAlignment="1">
      <alignment wrapText="1"/>
    </xf>
    <xf numFmtId="0" fontId="9" fillId="4" borderId="31" xfId="0" applyFont="1" applyFill="1" applyBorder="1" applyAlignment="1">
      <alignment horizontal="center" wrapText="1"/>
    </xf>
    <xf numFmtId="165" fontId="9" fillId="4" borderId="31" xfId="0" applyNumberFormat="1" applyFont="1" applyFill="1" applyBorder="1" applyAlignment="1">
      <alignment horizontal="center" wrapText="1"/>
    </xf>
    <xf numFmtId="165" fontId="9" fillId="4" borderId="31" xfId="0" applyNumberFormat="1" applyFont="1" applyFill="1" applyBorder="1" applyAlignment="1">
      <alignment horizontal="center"/>
    </xf>
    <xf numFmtId="0" fontId="9" fillId="0" borderId="31" xfId="0" applyFont="1" applyBorder="1" applyAlignment="1">
      <alignment horizontal="center"/>
    </xf>
    <xf numFmtId="165" fontId="19" fillId="0" borderId="31" xfId="0" applyNumberFormat="1" applyFont="1" applyBorder="1" applyAlignment="1">
      <alignment horizontal="center"/>
    </xf>
    <xf numFmtId="0" fontId="9" fillId="4" borderId="31" xfId="0" applyFont="1" applyFill="1" applyBorder="1" applyAlignment="1">
      <alignment horizontal="center"/>
    </xf>
    <xf numFmtId="0" fontId="13" fillId="4" borderId="31" xfId="0" applyFont="1" applyFill="1" applyBorder="1"/>
    <xf numFmtId="0" fontId="13" fillId="4" borderId="31" xfId="0" applyFont="1" applyFill="1" applyBorder="1" applyAlignment="1">
      <alignment horizontal="right"/>
    </xf>
    <xf numFmtId="165" fontId="16" fillId="4" borderId="31" xfId="0" applyNumberFormat="1" applyFont="1" applyFill="1" applyBorder="1" applyAlignment="1">
      <alignment horizontal="center"/>
    </xf>
    <xf numFmtId="0" fontId="1" fillId="2" borderId="22" xfId="0" applyFont="1" applyFill="1" applyBorder="1"/>
    <xf numFmtId="0" fontId="20" fillId="0" borderId="0" xfId="0" applyFont="1" applyAlignment="1">
      <alignment horizontal="center" wrapText="1"/>
    </xf>
    <xf numFmtId="0" fontId="13" fillId="0" borderId="39" xfId="0" applyFont="1" applyBorder="1"/>
    <xf numFmtId="0" fontId="13" fillId="0" borderId="40" xfId="0" applyFont="1" applyBorder="1"/>
    <xf numFmtId="0" fontId="1" fillId="0" borderId="31" xfId="0" applyFont="1" applyBorder="1"/>
    <xf numFmtId="0" fontId="1" fillId="0" borderId="31" xfId="0" applyFont="1" applyBorder="1" applyAlignment="1">
      <alignment vertical="top" wrapText="1"/>
    </xf>
    <xf numFmtId="0" fontId="1" fillId="0" borderId="31" xfId="0" applyFont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3" fillId="4" borderId="45" xfId="0" applyFont="1" applyFill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49" fontId="13" fillId="2" borderId="31" xfId="0" applyNumberFormat="1" applyFont="1" applyFill="1" applyBorder="1" applyAlignment="1">
      <alignment horizontal="center"/>
    </xf>
    <xf numFmtId="49" fontId="22" fillId="2" borderId="31" xfId="0" applyNumberFormat="1" applyFont="1" applyFill="1" applyBorder="1" applyAlignment="1">
      <alignment horizontal="left"/>
    </xf>
    <xf numFmtId="164" fontId="13" fillId="2" borderId="31" xfId="0" applyNumberFormat="1" applyFont="1" applyFill="1" applyBorder="1" applyAlignment="1">
      <alignment horizontal="left" vertical="center"/>
    </xf>
    <xf numFmtId="10" fontId="13" fillId="2" borderId="31" xfId="0" applyNumberFormat="1" applyFont="1" applyFill="1" applyBorder="1" applyAlignment="1">
      <alignment horizontal="right" vertical="top"/>
    </xf>
    <xf numFmtId="167" fontId="13" fillId="2" borderId="31" xfId="0" applyNumberFormat="1" applyFont="1" applyFill="1" applyBorder="1" applyAlignment="1">
      <alignment horizontal="right"/>
    </xf>
    <xf numFmtId="168" fontId="13" fillId="2" borderId="31" xfId="0" applyNumberFormat="1" applyFont="1" applyFill="1" applyBorder="1" applyAlignment="1">
      <alignment horizontal="right"/>
    </xf>
    <xf numFmtId="167" fontId="13" fillId="2" borderId="31" xfId="0" applyNumberFormat="1" applyFont="1" applyFill="1" applyBorder="1"/>
    <xf numFmtId="168" fontId="13" fillId="2" borderId="31" xfId="0" applyNumberFormat="1" applyFont="1" applyFill="1" applyBorder="1" applyAlignment="1">
      <alignment horizontal="right" wrapText="1"/>
    </xf>
    <xf numFmtId="10" fontId="13" fillId="2" borderId="31" xfId="0" applyNumberFormat="1" applyFont="1" applyFill="1" applyBorder="1"/>
    <xf numFmtId="10" fontId="13" fillId="2" borderId="45" xfId="0" applyNumberFormat="1" applyFont="1" applyFill="1" applyBorder="1"/>
    <xf numFmtId="168" fontId="13" fillId="2" borderId="36" xfId="0" applyNumberFormat="1" applyFont="1" applyFill="1" applyBorder="1"/>
    <xf numFmtId="167" fontId="13" fillId="2" borderId="22" xfId="0" applyNumberFormat="1" applyFont="1" applyFill="1" applyBorder="1"/>
    <xf numFmtId="49" fontId="1" fillId="0" borderId="31" xfId="0" applyNumberFormat="1" applyFont="1" applyBorder="1" applyAlignment="1">
      <alignment horizontal="center"/>
    </xf>
    <xf numFmtId="49" fontId="1" fillId="0" borderId="31" xfId="0" applyNumberFormat="1" applyFont="1" applyBorder="1" applyAlignment="1">
      <alignment horizontal="left"/>
    </xf>
    <xf numFmtId="164" fontId="1" fillId="0" borderId="31" xfId="0" applyNumberFormat="1" applyFont="1" applyBorder="1" applyAlignment="1">
      <alignment horizontal="left" vertical="center"/>
    </xf>
    <xf numFmtId="10" fontId="1" fillId="0" borderId="31" xfId="0" applyNumberFormat="1" applyFont="1" applyBorder="1" applyAlignment="1">
      <alignment horizontal="right" vertical="top"/>
    </xf>
    <xf numFmtId="10" fontId="1" fillId="10" borderId="31" xfId="0" applyNumberFormat="1" applyFont="1" applyFill="1" applyBorder="1" applyAlignment="1">
      <alignment horizontal="right"/>
    </xf>
    <xf numFmtId="168" fontId="1" fillId="0" borderId="31" xfId="0" applyNumberFormat="1" applyFont="1" applyBorder="1" applyAlignment="1">
      <alignment horizontal="right"/>
    </xf>
    <xf numFmtId="10" fontId="1" fillId="10" borderId="31" xfId="0" applyNumberFormat="1" applyFont="1" applyFill="1" applyBorder="1"/>
    <xf numFmtId="168" fontId="1" fillId="0" borderId="31" xfId="0" applyNumberFormat="1" applyFont="1" applyBorder="1" applyAlignment="1">
      <alignment horizontal="right" wrapText="1"/>
    </xf>
    <xf numFmtId="10" fontId="13" fillId="7" borderId="45" xfId="0" applyNumberFormat="1" applyFont="1" applyFill="1" applyBorder="1"/>
    <xf numFmtId="168" fontId="13" fillId="7" borderId="36" xfId="0" applyNumberFormat="1" applyFont="1" applyFill="1" applyBorder="1" applyAlignment="1">
      <alignment horizontal="right" wrapText="1"/>
    </xf>
    <xf numFmtId="167" fontId="1" fillId="0" borderId="0" xfId="0" applyNumberFormat="1" applyFont="1"/>
    <xf numFmtId="10" fontId="1" fillId="10" borderId="31" xfId="0" applyNumberFormat="1" applyFont="1" applyFill="1" applyBorder="1" applyAlignment="1">
      <alignment horizontal="right" wrapText="1"/>
    </xf>
    <xf numFmtId="10" fontId="1" fillId="10" borderId="31" xfId="0" applyNumberFormat="1" applyFont="1" applyFill="1" applyBorder="1" applyAlignment="1">
      <alignment vertical="top"/>
    </xf>
    <xf numFmtId="10" fontId="13" fillId="4" borderId="45" xfId="0" applyNumberFormat="1" applyFont="1" applyFill="1" applyBorder="1"/>
    <xf numFmtId="10" fontId="13" fillId="4" borderId="45" xfId="0" applyNumberFormat="1" applyFont="1" applyFill="1" applyBorder="1" applyAlignment="1">
      <alignment horizontal="right"/>
    </xf>
    <xf numFmtId="10" fontId="13" fillId="7" borderId="45" xfId="0" applyNumberFormat="1" applyFont="1" applyFill="1" applyBorder="1" applyAlignment="1">
      <alignment horizontal="right" wrapText="1"/>
    </xf>
    <xf numFmtId="10" fontId="13" fillId="4" borderId="45" xfId="0" applyNumberFormat="1" applyFont="1" applyFill="1" applyBorder="1" applyAlignment="1">
      <alignment horizontal="right" wrapText="1"/>
    </xf>
    <xf numFmtId="164" fontId="1" fillId="2" borderId="31" xfId="0" applyNumberFormat="1" applyFont="1" applyFill="1" applyBorder="1" applyAlignment="1">
      <alignment horizontal="left" vertical="center"/>
    </xf>
    <xf numFmtId="10" fontId="13" fillId="2" borderId="31" xfId="0" applyNumberFormat="1" applyFont="1" applyFill="1" applyBorder="1" applyAlignment="1">
      <alignment horizontal="right"/>
    </xf>
    <xf numFmtId="168" fontId="1" fillId="2" borderId="31" xfId="0" applyNumberFormat="1" applyFont="1" applyFill="1" applyBorder="1" applyAlignment="1">
      <alignment horizontal="right"/>
    </xf>
    <xf numFmtId="168" fontId="1" fillId="2" borderId="31" xfId="0" applyNumberFormat="1" applyFont="1" applyFill="1" applyBorder="1" applyAlignment="1">
      <alignment horizontal="right" wrapText="1"/>
    </xf>
    <xf numFmtId="168" fontId="13" fillId="2" borderId="36" xfId="0" applyNumberFormat="1" applyFont="1" applyFill="1" applyBorder="1" applyAlignment="1">
      <alignment horizontal="right" wrapText="1"/>
    </xf>
    <xf numFmtId="167" fontId="1" fillId="2" borderId="22" xfId="0" applyNumberFormat="1" applyFont="1" applyFill="1" applyBorder="1"/>
    <xf numFmtId="0" fontId="1" fillId="0" borderId="31" xfId="0" applyFont="1" applyBorder="1" applyAlignment="1">
      <alignment wrapText="1"/>
    </xf>
    <xf numFmtId="10" fontId="1" fillId="0" borderId="31" xfId="0" applyNumberFormat="1" applyFont="1" applyBorder="1"/>
    <xf numFmtId="10" fontId="1" fillId="0" borderId="31" xfId="0" applyNumberFormat="1" applyFont="1" applyBorder="1" applyAlignment="1">
      <alignment horizontal="right"/>
    </xf>
    <xf numFmtId="0" fontId="1" fillId="0" borderId="39" xfId="0" applyFont="1" applyBorder="1"/>
    <xf numFmtId="0" fontId="1" fillId="0" borderId="49" xfId="0" applyFont="1" applyBorder="1"/>
    <xf numFmtId="0" fontId="11" fillId="0" borderId="31" xfId="0" applyFont="1" applyBorder="1" applyAlignment="1">
      <alignment horizontal="right" vertical="top" wrapText="1"/>
    </xf>
    <xf numFmtId="9" fontId="1" fillId="0" borderId="49" xfId="0" applyNumberFormat="1" applyFont="1" applyBorder="1"/>
    <xf numFmtId="0" fontId="11" fillId="0" borderId="0" xfId="0" applyFont="1" applyAlignment="1">
      <alignment horizontal="center"/>
    </xf>
    <xf numFmtId="49" fontId="1" fillId="0" borderId="0" xfId="0" applyNumberFormat="1" applyFont="1"/>
    <xf numFmtId="164" fontId="5" fillId="0" borderId="0" xfId="0" applyNumberFormat="1" applyFont="1"/>
    <xf numFmtId="10" fontId="5" fillId="0" borderId="0" xfId="0" applyNumberFormat="1" applyFont="1" applyAlignment="1">
      <alignment horizontal="right"/>
    </xf>
    <xf numFmtId="164" fontId="7" fillId="0" borderId="0" xfId="0" applyNumberFormat="1" applyFont="1"/>
    <xf numFmtId="164" fontId="5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17" fillId="0" borderId="0" xfId="0" applyFont="1" applyAlignment="1">
      <alignment horizontal="center"/>
    </xf>
    <xf numFmtId="0" fontId="19" fillId="0" borderId="31" xfId="0" applyFont="1" applyBorder="1" applyAlignment="1">
      <alignment horizontal="center"/>
    </xf>
    <xf numFmtId="10" fontId="19" fillId="0" borderId="31" xfId="0" applyNumberFormat="1" applyFont="1" applyBorder="1" applyAlignment="1">
      <alignment horizontal="center"/>
    </xf>
    <xf numFmtId="10" fontId="9" fillId="0" borderId="31" xfId="0" applyNumberFormat="1" applyFont="1" applyBorder="1" applyAlignment="1">
      <alignment horizontal="center"/>
    </xf>
    <xf numFmtId="169" fontId="19" fillId="0" borderId="31" xfId="0" applyNumberFormat="1" applyFont="1" applyBorder="1" applyAlignment="1">
      <alignment horizontal="right"/>
    </xf>
    <xf numFmtId="0" fontId="19" fillId="0" borderId="31" xfId="0" applyFont="1" applyBorder="1"/>
    <xf numFmtId="49" fontId="11" fillId="3" borderId="24" xfId="0" applyNumberFormat="1" applyFont="1" applyFill="1" applyBorder="1" applyAlignment="1">
      <alignment horizontal="left" vertical="center" wrapText="1"/>
    </xf>
    <xf numFmtId="0" fontId="2" fillId="0" borderId="25" xfId="0" applyFont="1" applyBorder="1"/>
    <xf numFmtId="49" fontId="15" fillId="3" borderId="28" xfId="0" applyNumberFormat="1" applyFont="1" applyFill="1" applyBorder="1" applyAlignment="1">
      <alignment wrapText="1"/>
    </xf>
    <xf numFmtId="49" fontId="11" fillId="6" borderId="1" xfId="0" applyNumberFormat="1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49" fontId="1" fillId="4" borderId="24" xfId="0" applyNumberFormat="1" applyFont="1" applyFill="1" applyBorder="1" applyAlignment="1">
      <alignment horizontal="center" vertical="center"/>
    </xf>
    <xf numFmtId="0" fontId="2" fillId="0" borderId="27" xfId="0" applyFont="1" applyBorder="1"/>
    <xf numFmtId="49" fontId="1" fillId="2" borderId="1" xfId="0" applyNumberFormat="1" applyFont="1" applyFill="1" applyBorder="1" applyAlignment="1">
      <alignment horizontal="center"/>
    </xf>
    <xf numFmtId="49" fontId="1" fillId="0" borderId="24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1" fillId="4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4" xfId="0" applyFont="1" applyBorder="1"/>
    <xf numFmtId="0" fontId="2" fillId="0" borderId="15" xfId="0" applyFont="1" applyBorder="1"/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3" borderId="12" xfId="0" applyFont="1" applyFill="1" applyBorder="1"/>
    <xf numFmtId="0" fontId="2" fillId="0" borderId="13" xfId="0" applyFont="1" applyBorder="1"/>
    <xf numFmtId="0" fontId="10" fillId="2" borderId="17" xfId="0" applyFont="1" applyFill="1" applyBorder="1" applyAlignment="1">
      <alignment horizontal="center" vertical="center"/>
    </xf>
    <xf numFmtId="0" fontId="2" fillId="0" borderId="18" xfId="0" applyFont="1" applyBorder="1"/>
    <xf numFmtId="0" fontId="2" fillId="0" borderId="19" xfId="0" applyFont="1" applyBorder="1"/>
    <xf numFmtId="2" fontId="10" fillId="2" borderId="16" xfId="0" applyNumberFormat="1" applyFont="1" applyFill="1" applyBorder="1" applyAlignment="1">
      <alignment horizontal="center" vertical="center"/>
    </xf>
    <xf numFmtId="0" fontId="2" fillId="0" borderId="20" xfId="0" applyFont="1" applyBorder="1"/>
    <xf numFmtId="0" fontId="9" fillId="0" borderId="6" xfId="0" applyFont="1" applyBorder="1" applyAlignment="1">
      <alignment horizontal="center" vertical="center" wrapText="1"/>
    </xf>
    <xf numFmtId="49" fontId="10" fillId="2" borderId="16" xfId="0" applyNumberFormat="1" applyFont="1" applyFill="1" applyBorder="1" applyAlignment="1">
      <alignment horizontal="center" vertical="center"/>
    </xf>
    <xf numFmtId="49" fontId="10" fillId="2" borderId="16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  <xf numFmtId="49" fontId="11" fillId="8" borderId="24" xfId="0" applyNumberFormat="1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horizontal="center"/>
    </xf>
    <xf numFmtId="0" fontId="2" fillId="0" borderId="34" xfId="0" applyFont="1" applyBorder="1"/>
    <xf numFmtId="0" fontId="2" fillId="0" borderId="35" xfId="0" applyFont="1" applyBorder="1"/>
    <xf numFmtId="49" fontId="13" fillId="0" borderId="0" xfId="0" applyNumberFormat="1" applyFont="1"/>
    <xf numFmtId="0" fontId="1" fillId="0" borderId="41" xfId="0" applyFont="1" applyBorder="1" applyAlignment="1">
      <alignment horizontal="center" wrapText="1"/>
    </xf>
    <xf numFmtId="0" fontId="2" fillId="0" borderId="30" xfId="0" applyFont="1" applyBorder="1"/>
    <xf numFmtId="49" fontId="1" fillId="0" borderId="4" xfId="0" applyNumberFormat="1" applyFont="1" applyBorder="1" applyAlignment="1">
      <alignment horizontal="center"/>
    </xf>
    <xf numFmtId="0" fontId="2" fillId="0" borderId="46" xfId="0" applyFont="1" applyBorder="1"/>
    <xf numFmtId="0" fontId="13" fillId="0" borderId="47" xfId="0" applyFont="1" applyBorder="1"/>
    <xf numFmtId="0" fontId="2" fillId="0" borderId="48" xfId="0" applyFont="1" applyBorder="1"/>
    <xf numFmtId="168" fontId="11" fillId="0" borderId="42" xfId="0" applyNumberFormat="1" applyFont="1" applyBorder="1" applyAlignment="1">
      <alignment horizontal="right" vertical="top"/>
    </xf>
    <xf numFmtId="168" fontId="11" fillId="0" borderId="41" xfId="0" applyNumberFormat="1" applyFont="1" applyBorder="1" applyAlignment="1">
      <alignment horizontal="right" vertical="top"/>
    </xf>
    <xf numFmtId="10" fontId="11" fillId="10" borderId="50" xfId="0" applyNumberFormat="1" applyFont="1" applyFill="1" applyBorder="1" applyAlignment="1">
      <alignment horizontal="right"/>
    </xf>
    <xf numFmtId="10" fontId="11" fillId="10" borderId="41" xfId="0" applyNumberFormat="1" applyFont="1" applyFill="1" applyBorder="1" applyAlignment="1">
      <alignment horizontal="right"/>
    </xf>
    <xf numFmtId="0" fontId="20" fillId="2" borderId="1" xfId="0" applyFont="1" applyFill="1" applyBorder="1" applyAlignment="1">
      <alignment horizontal="center" wrapText="1"/>
    </xf>
    <xf numFmtId="0" fontId="13" fillId="2" borderId="1" xfId="0" applyFont="1" applyFill="1" applyBorder="1"/>
    <xf numFmtId="0" fontId="13" fillId="0" borderId="14" xfId="0" applyFont="1" applyBorder="1" applyAlignment="1">
      <alignment horizontal="center" wrapText="1"/>
    </xf>
    <xf numFmtId="0" fontId="21" fillId="2" borderId="41" xfId="0" applyFont="1" applyFill="1" applyBorder="1" applyAlignment="1">
      <alignment horizontal="center" vertical="top" wrapText="1"/>
    </xf>
    <xf numFmtId="0" fontId="2" fillId="0" borderId="42" xfId="0" applyFont="1" applyBorder="1"/>
    <xf numFmtId="0" fontId="13" fillId="2" borderId="43" xfId="0" applyFont="1" applyFill="1" applyBorder="1"/>
    <xf numFmtId="0" fontId="1" fillId="0" borderId="44" xfId="0" applyFont="1" applyBorder="1"/>
    <xf numFmtId="0" fontId="2" fillId="0" borderId="38" xfId="0" applyFont="1" applyBorder="1"/>
    <xf numFmtId="0" fontId="1" fillId="0" borderId="44" xfId="0" applyFont="1" applyBorder="1" applyAlignment="1">
      <alignment vertical="center"/>
    </xf>
    <xf numFmtId="168" fontId="15" fillId="0" borderId="14" xfId="0" applyNumberFormat="1" applyFont="1" applyBorder="1" applyAlignment="1">
      <alignment horizontal="right" vertical="top"/>
    </xf>
    <xf numFmtId="0" fontId="9" fillId="0" borderId="41" xfId="0" applyFont="1" applyBorder="1"/>
    <xf numFmtId="0" fontId="13" fillId="0" borderId="40" xfId="0" applyFont="1" applyBorder="1"/>
    <xf numFmtId="0" fontId="2" fillId="0" borderId="40" xfId="0" applyFont="1" applyBorder="1"/>
    <xf numFmtId="0" fontId="17" fillId="2" borderId="1" xfId="0" applyFont="1" applyFill="1" applyBorder="1" applyAlignment="1">
      <alignment horizontal="center"/>
    </xf>
    <xf numFmtId="0" fontId="16" fillId="0" borderId="41" xfId="0" applyFont="1" applyBorder="1" applyAlignment="1">
      <alignment horizontal="center"/>
    </xf>
    <xf numFmtId="0" fontId="16" fillId="0" borderId="4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9" fillId="0" borderId="4" xfId="0" applyFont="1" applyBorder="1" applyAlignment="1">
      <alignment vertical="top"/>
    </xf>
    <xf numFmtId="0" fontId="19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3">
    <dxf>
      <fill>
        <patternFill patternType="solid">
          <fgColor rgb="FF00FF00"/>
          <bgColor rgb="FF00FF00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CRONOGRAMA - OBRA-style" pivot="0" count="2" xr9:uid="{00000000-0011-0000-FFFF-FFFF00000000}"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20</xdr:row>
      <xdr:rowOff>38100</xdr:rowOff>
    </xdr:from>
    <xdr:ext cx="45243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5:T41" headerRowCount="0">
  <tableColumns count="20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/>
    <tableColumn id="17" xr3:uid="{00000000-0010-0000-0000-000011000000}" name="Column17"/>
    <tableColumn id="18" xr3:uid="{00000000-0010-0000-0000-000012000000}" name="Column18"/>
    <tableColumn id="19" xr3:uid="{00000000-0010-0000-0000-000013000000}" name="Column19"/>
    <tableColumn id="20" xr3:uid="{00000000-0010-0000-0000-000014000000}" name="Column20"/>
  </tableColumns>
  <tableStyleInfo name="CRONOGRAMA - OBR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gazineluiza.com.br/carretel-retratil-eletrico-giratorio-com-cabo-de-10m-8109-bremen/p/gg841j1kj8/cj/crrt/?&amp;seller_id=acasadosmacacos&amp;utm_source=google&amp;utm_medium=pla&amp;utm_campaign=&amp;partner_id=64262&amp;&amp;&amp;utm_source=google&amp;utm_medium=pla&amp;utm_camp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tabSelected="1" workbookViewId="0">
      <selection sqref="A1:M1"/>
    </sheetView>
  </sheetViews>
  <sheetFormatPr defaultColWidth="14.42578125" defaultRowHeight="15" customHeight="1" x14ac:dyDescent="0.2"/>
  <cols>
    <col min="1" max="1" width="7.5703125" customWidth="1"/>
    <col min="2" max="2" width="35" customWidth="1"/>
    <col min="3" max="3" width="14.28515625" customWidth="1"/>
    <col min="4" max="4" width="55.42578125" customWidth="1"/>
    <col min="5" max="11" width="12.7109375" customWidth="1"/>
    <col min="12" max="12" width="19" customWidth="1"/>
    <col min="13" max="13" width="22.42578125" customWidth="1"/>
    <col min="14" max="26" width="12.7109375" customWidth="1"/>
  </cols>
  <sheetData>
    <row r="1" spans="1:14" ht="12.75" customHeight="1" x14ac:dyDescent="0.2">
      <c r="A1" s="247"/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4"/>
      <c r="N1" s="1"/>
    </row>
    <row r="2" spans="1:14" ht="12.75" customHeight="1" x14ac:dyDescent="0.2">
      <c r="A2" s="255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1"/>
    </row>
    <row r="3" spans="1:14" ht="15" customHeight="1" x14ac:dyDescent="0.2">
      <c r="A3" s="257"/>
      <c r="B3" s="258" t="s">
        <v>0</v>
      </c>
      <c r="C3" s="259"/>
      <c r="D3" s="264" t="s">
        <v>1</v>
      </c>
      <c r="E3" s="250"/>
      <c r="F3" s="250"/>
      <c r="G3" s="251"/>
      <c r="H3" s="3"/>
      <c r="I3" s="4"/>
      <c r="J3" s="4"/>
      <c r="K3" s="4"/>
      <c r="L3" s="4"/>
      <c r="M3" s="4"/>
      <c r="N3" s="1"/>
    </row>
    <row r="4" spans="1:14" ht="15" customHeight="1" x14ac:dyDescent="0.25">
      <c r="A4" s="256"/>
      <c r="B4" s="260"/>
      <c r="C4" s="261"/>
      <c r="D4" s="265" t="s">
        <v>2</v>
      </c>
      <c r="E4" s="250"/>
      <c r="F4" s="250"/>
      <c r="G4" s="251"/>
      <c r="H4" s="4"/>
      <c r="I4" s="4"/>
      <c r="J4" s="4"/>
      <c r="K4" s="4"/>
      <c r="L4" s="5" t="s">
        <v>3</v>
      </c>
      <c r="M4" s="6">
        <f>BDI!F28</f>
        <v>0.2787</v>
      </c>
      <c r="N4" s="1"/>
    </row>
    <row r="5" spans="1:14" ht="15" customHeight="1" x14ac:dyDescent="0.25">
      <c r="A5" s="256"/>
      <c r="B5" s="260"/>
      <c r="C5" s="261"/>
      <c r="D5" s="249" t="s">
        <v>4</v>
      </c>
      <c r="E5" s="250"/>
      <c r="F5" s="250"/>
      <c r="G5" s="251"/>
      <c r="H5" s="4"/>
      <c r="I5" s="4"/>
      <c r="J5" s="4"/>
      <c r="K5" s="4"/>
      <c r="L5" s="266"/>
      <c r="M5" s="267"/>
      <c r="N5" s="1"/>
    </row>
    <row r="6" spans="1:14" ht="15" customHeight="1" x14ac:dyDescent="0.25">
      <c r="A6" s="256"/>
      <c r="B6" s="260"/>
      <c r="C6" s="261"/>
      <c r="D6" s="252" t="s">
        <v>5</v>
      </c>
      <c r="E6" s="250"/>
      <c r="F6" s="250"/>
      <c r="G6" s="251"/>
      <c r="L6" s="7" t="s">
        <v>6</v>
      </c>
      <c r="M6" s="8">
        <f>M7/(1+M4)</f>
        <v>837617.56471416273</v>
      </c>
      <c r="N6" s="1"/>
    </row>
    <row r="7" spans="1:14" ht="12.75" customHeight="1" x14ac:dyDescent="0.25">
      <c r="A7" s="256"/>
      <c r="B7" s="260"/>
      <c r="C7" s="261"/>
      <c r="D7" s="253"/>
      <c r="E7" s="250"/>
      <c r="F7" s="250"/>
      <c r="G7" s="251"/>
      <c r="L7" s="7" t="s">
        <v>7</v>
      </c>
      <c r="M7" s="9">
        <f>SUM(N12:N439)</f>
        <v>1071061.5799999998</v>
      </c>
      <c r="N7" s="10" t="s">
        <v>8</v>
      </c>
    </row>
    <row r="8" spans="1:14" ht="13.5" customHeight="1" x14ac:dyDescent="0.2">
      <c r="A8" s="256"/>
      <c r="B8" s="260"/>
      <c r="C8" s="261"/>
      <c r="D8" s="254" t="s">
        <v>9</v>
      </c>
      <c r="E8" s="250"/>
      <c r="F8" s="250"/>
      <c r="G8" s="251"/>
      <c r="H8" s="4"/>
      <c r="J8" s="4"/>
      <c r="K8" s="4"/>
      <c r="L8" s="4"/>
      <c r="M8" s="11"/>
      <c r="N8" s="1"/>
    </row>
    <row r="9" spans="1:14" ht="12.75" customHeight="1" x14ac:dyDescent="0.2">
      <c r="A9" s="256"/>
      <c r="B9" s="262"/>
      <c r="C9" s="263"/>
      <c r="D9" s="273"/>
      <c r="E9" s="250"/>
      <c r="F9" s="250"/>
      <c r="G9" s="251"/>
      <c r="H9" s="4"/>
      <c r="I9" s="4"/>
      <c r="J9" s="4"/>
      <c r="K9" s="4"/>
      <c r="L9" s="4"/>
      <c r="M9" s="4"/>
      <c r="N9" s="1"/>
    </row>
    <row r="10" spans="1:14" ht="12.75" customHeight="1" x14ac:dyDescent="0.2">
      <c r="A10" s="257"/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1"/>
    </row>
    <row r="11" spans="1:14" ht="15" customHeight="1" x14ac:dyDescent="0.2">
      <c r="A11" s="274" t="s">
        <v>10</v>
      </c>
      <c r="B11" s="274" t="s">
        <v>11</v>
      </c>
      <c r="C11" s="275" t="s">
        <v>12</v>
      </c>
      <c r="D11" s="276" t="s">
        <v>13</v>
      </c>
      <c r="E11" s="277" t="s">
        <v>14</v>
      </c>
      <c r="F11" s="271" t="s">
        <v>15</v>
      </c>
      <c r="G11" s="268" t="s">
        <v>16</v>
      </c>
      <c r="H11" s="269"/>
      <c r="I11" s="270"/>
      <c r="J11" s="268" t="s">
        <v>17</v>
      </c>
      <c r="K11" s="269"/>
      <c r="L11" s="270"/>
      <c r="M11" s="271" t="s">
        <v>18</v>
      </c>
      <c r="N11" s="1"/>
    </row>
    <row r="12" spans="1:14" ht="12.75" customHeight="1" x14ac:dyDescent="0.2">
      <c r="A12" s="272"/>
      <c r="B12" s="272"/>
      <c r="C12" s="272"/>
      <c r="D12" s="272"/>
      <c r="E12" s="272"/>
      <c r="F12" s="272"/>
      <c r="G12" s="12" t="s">
        <v>19</v>
      </c>
      <c r="H12" s="12" t="s">
        <v>20</v>
      </c>
      <c r="I12" s="12" t="s">
        <v>21</v>
      </c>
      <c r="J12" s="12" t="s">
        <v>22</v>
      </c>
      <c r="K12" s="12" t="s">
        <v>20</v>
      </c>
      <c r="L12" s="12" t="s">
        <v>21</v>
      </c>
      <c r="M12" s="272"/>
      <c r="N12" s="1"/>
    </row>
    <row r="13" spans="1:14" ht="12.75" customHeight="1" x14ac:dyDescent="0.2">
      <c r="A13" s="13"/>
      <c r="B13" s="242" t="s">
        <v>23</v>
      </c>
      <c r="C13" s="243"/>
      <c r="D13" s="244"/>
      <c r="E13" s="14"/>
      <c r="F13" s="15"/>
      <c r="G13" s="16"/>
      <c r="H13" s="16"/>
      <c r="I13" s="16"/>
      <c r="J13" s="16"/>
      <c r="K13" s="16"/>
      <c r="L13" s="16"/>
      <c r="M13" s="16"/>
      <c r="N13" s="1"/>
    </row>
    <row r="14" spans="1:14" ht="12.75" customHeight="1" x14ac:dyDescent="0.2">
      <c r="A14" s="17" t="s">
        <v>24</v>
      </c>
      <c r="B14" s="18" t="s">
        <v>25</v>
      </c>
      <c r="C14" s="17"/>
      <c r="D14" s="19"/>
      <c r="E14" s="20"/>
      <c r="F14" s="20"/>
      <c r="G14" s="21"/>
      <c r="H14" s="21"/>
      <c r="I14" s="21">
        <f t="shared" ref="I14:M14" si="0">SUM(I15:I17)</f>
        <v>756.15</v>
      </c>
      <c r="J14" s="21">
        <f t="shared" si="0"/>
        <v>5797.5</v>
      </c>
      <c r="K14" s="21">
        <f t="shared" si="0"/>
        <v>22.5</v>
      </c>
      <c r="L14" s="21">
        <f t="shared" si="0"/>
        <v>5820</v>
      </c>
      <c r="M14" s="21">
        <f t="shared" si="0"/>
        <v>7442.04</v>
      </c>
      <c r="N14" s="22">
        <f>M14</f>
        <v>7442.04</v>
      </c>
    </row>
    <row r="15" spans="1:14" ht="12.75" customHeight="1" x14ac:dyDescent="0.2">
      <c r="A15" s="23" t="s">
        <v>26</v>
      </c>
      <c r="B15" s="24" t="s">
        <v>27</v>
      </c>
      <c r="C15" s="23" t="s">
        <v>28</v>
      </c>
      <c r="D15" s="25" t="s">
        <v>29</v>
      </c>
      <c r="E15" s="26" t="s">
        <v>30</v>
      </c>
      <c r="F15" s="27">
        <v>6</v>
      </c>
      <c r="G15" s="28">
        <v>285</v>
      </c>
      <c r="H15" s="28">
        <v>0</v>
      </c>
      <c r="I15" s="28">
        <f t="shared" ref="I15:I17" si="1">G15+H15</f>
        <v>285</v>
      </c>
      <c r="J15" s="28">
        <f t="shared" ref="J15:J17" si="2">G15*F15</f>
        <v>1710</v>
      </c>
      <c r="K15" s="28">
        <f t="shared" ref="K15:K17" si="3">H15*F15</f>
        <v>0</v>
      </c>
      <c r="L15" s="28">
        <f t="shared" ref="L15:L17" si="4">J15+K15</f>
        <v>1710</v>
      </c>
      <c r="M15" s="28">
        <f t="shared" ref="M15:M17" si="5">ROUND(L15*(1+$M$4),2)</f>
        <v>2186.58</v>
      </c>
      <c r="N15" s="1"/>
    </row>
    <row r="16" spans="1:14" ht="12.75" customHeight="1" x14ac:dyDescent="0.2">
      <c r="A16" s="23" t="s">
        <v>31</v>
      </c>
      <c r="B16" s="24" t="s">
        <v>32</v>
      </c>
      <c r="C16" s="23" t="s">
        <v>33</v>
      </c>
      <c r="D16" s="25" t="s">
        <v>34</v>
      </c>
      <c r="E16" s="26" t="s">
        <v>35</v>
      </c>
      <c r="F16" s="27">
        <v>8</v>
      </c>
      <c r="G16" s="28">
        <v>468.75</v>
      </c>
      <c r="H16" s="28">
        <v>0</v>
      </c>
      <c r="I16" s="28">
        <f t="shared" si="1"/>
        <v>468.75</v>
      </c>
      <c r="J16" s="28">
        <f t="shared" si="2"/>
        <v>3750</v>
      </c>
      <c r="K16" s="28">
        <f t="shared" si="3"/>
        <v>0</v>
      </c>
      <c r="L16" s="28">
        <f t="shared" si="4"/>
        <v>3750</v>
      </c>
      <c r="M16" s="28">
        <f t="shared" si="5"/>
        <v>4795.13</v>
      </c>
      <c r="N16" s="1"/>
    </row>
    <row r="17" spans="1:14" ht="12.75" customHeight="1" x14ac:dyDescent="0.2">
      <c r="A17" s="23" t="s">
        <v>36</v>
      </c>
      <c r="B17" s="24" t="s">
        <v>37</v>
      </c>
      <c r="C17" s="23" t="s">
        <v>38</v>
      </c>
      <c r="D17" s="25" t="s">
        <v>39</v>
      </c>
      <c r="E17" s="26" t="s">
        <v>30</v>
      </c>
      <c r="F17" s="27">
        <v>150</v>
      </c>
      <c r="G17" s="28">
        <v>2.25</v>
      </c>
      <c r="H17" s="28">
        <v>0.15</v>
      </c>
      <c r="I17" s="28">
        <f t="shared" si="1"/>
        <v>2.4</v>
      </c>
      <c r="J17" s="28">
        <f t="shared" si="2"/>
        <v>337.5</v>
      </c>
      <c r="K17" s="28">
        <f t="shared" si="3"/>
        <v>22.5</v>
      </c>
      <c r="L17" s="28">
        <f t="shared" si="4"/>
        <v>360</v>
      </c>
      <c r="M17" s="28">
        <f t="shared" si="5"/>
        <v>460.33</v>
      </c>
      <c r="N17" s="1"/>
    </row>
    <row r="18" spans="1:14" ht="12.75" customHeight="1" x14ac:dyDescent="0.2">
      <c r="A18" s="23"/>
      <c r="B18" s="24"/>
      <c r="C18" s="23"/>
      <c r="D18" s="25"/>
      <c r="E18" s="26"/>
      <c r="F18" s="27"/>
      <c r="G18" s="28"/>
      <c r="H18" s="28"/>
      <c r="I18" s="28"/>
      <c r="J18" s="28"/>
      <c r="K18" s="28"/>
      <c r="L18" s="28"/>
      <c r="M18" s="28"/>
      <c r="N18" s="1"/>
    </row>
    <row r="19" spans="1:14" ht="12.75" customHeight="1" x14ac:dyDescent="0.2">
      <c r="A19" s="29" t="s">
        <v>40</v>
      </c>
      <c r="B19" s="239" t="s">
        <v>41</v>
      </c>
      <c r="C19" s="240"/>
      <c r="D19" s="30"/>
      <c r="E19" s="31"/>
      <c r="F19" s="32"/>
      <c r="G19" s="33"/>
      <c r="H19" s="33"/>
      <c r="I19" s="33"/>
      <c r="J19" s="33">
        <f t="shared" ref="J19:M19" si="6">SUM(J20:J31)</f>
        <v>5489.6680000000006</v>
      </c>
      <c r="K19" s="33">
        <f t="shared" si="6"/>
        <v>10592.798000000001</v>
      </c>
      <c r="L19" s="33">
        <f t="shared" si="6"/>
        <v>16082.466000000002</v>
      </c>
      <c r="M19" s="33">
        <f t="shared" si="6"/>
        <v>20564.640000000003</v>
      </c>
      <c r="N19" s="22">
        <f>M19</f>
        <v>20564.640000000003</v>
      </c>
    </row>
    <row r="20" spans="1:14" ht="12.75" customHeight="1" x14ac:dyDescent="0.2">
      <c r="A20" s="34" t="s">
        <v>42</v>
      </c>
      <c r="B20" s="35" t="s">
        <v>43</v>
      </c>
      <c r="C20" s="34" t="s">
        <v>44</v>
      </c>
      <c r="D20" s="36" t="s">
        <v>45</v>
      </c>
      <c r="E20" s="37" t="s">
        <v>46</v>
      </c>
      <c r="F20" s="38">
        <v>17</v>
      </c>
      <c r="G20" s="39">
        <v>2.5099999999999998</v>
      </c>
      <c r="H20" s="39">
        <v>5.93</v>
      </c>
      <c r="I20" s="39">
        <f t="shared" ref="I20:I31" si="7">SUM(G20:H20)</f>
        <v>8.44</v>
      </c>
      <c r="J20" s="39">
        <f t="shared" ref="J20:J31" si="8">G20*F20</f>
        <v>42.669999999999995</v>
      </c>
      <c r="K20" s="39">
        <f t="shared" ref="K20:K31" si="9">H20*F20</f>
        <v>100.81</v>
      </c>
      <c r="L20" s="39">
        <f t="shared" ref="L20:L31" si="10">I20*F20</f>
        <v>143.47999999999999</v>
      </c>
      <c r="M20" s="39">
        <f t="shared" ref="M20:M31" si="11">ROUND(L20*(1+$M$4),2)</f>
        <v>183.47</v>
      </c>
      <c r="N20" s="1"/>
    </row>
    <row r="21" spans="1:14" ht="12.75" customHeight="1" x14ac:dyDescent="0.2">
      <c r="A21" s="34" t="s">
        <v>47</v>
      </c>
      <c r="B21" s="35" t="s">
        <v>48</v>
      </c>
      <c r="C21" s="34" t="s">
        <v>49</v>
      </c>
      <c r="D21" s="36" t="s">
        <v>50</v>
      </c>
      <c r="E21" s="37" t="s">
        <v>46</v>
      </c>
      <c r="F21" s="38">
        <v>102.15</v>
      </c>
      <c r="G21" s="39">
        <v>15.65</v>
      </c>
      <c r="H21" s="39">
        <v>16.350000000000001</v>
      </c>
      <c r="I21" s="39">
        <f t="shared" si="7"/>
        <v>32</v>
      </c>
      <c r="J21" s="39">
        <f t="shared" si="8"/>
        <v>1598.6475</v>
      </c>
      <c r="K21" s="39">
        <f t="shared" si="9"/>
        <v>1670.1525000000001</v>
      </c>
      <c r="L21" s="39">
        <f t="shared" si="10"/>
        <v>3268.8</v>
      </c>
      <c r="M21" s="39">
        <f t="shared" si="11"/>
        <v>4179.8100000000004</v>
      </c>
      <c r="N21" s="1"/>
    </row>
    <row r="22" spans="1:14" ht="12.75" customHeight="1" x14ac:dyDescent="0.2">
      <c r="A22" s="34" t="s">
        <v>51</v>
      </c>
      <c r="B22" s="35" t="s">
        <v>52</v>
      </c>
      <c r="C22" s="34" t="s">
        <v>53</v>
      </c>
      <c r="D22" s="36" t="s">
        <v>54</v>
      </c>
      <c r="E22" s="37" t="s">
        <v>46</v>
      </c>
      <c r="F22" s="38">
        <v>393</v>
      </c>
      <c r="G22" s="39">
        <v>6.73</v>
      </c>
      <c r="H22" s="39">
        <v>15.68</v>
      </c>
      <c r="I22" s="39">
        <f t="shared" si="7"/>
        <v>22.41</v>
      </c>
      <c r="J22" s="39">
        <f t="shared" si="8"/>
        <v>2644.8900000000003</v>
      </c>
      <c r="K22" s="39">
        <f t="shared" si="9"/>
        <v>6162.24</v>
      </c>
      <c r="L22" s="39">
        <f t="shared" si="10"/>
        <v>8807.1299999999992</v>
      </c>
      <c r="M22" s="39">
        <f t="shared" si="11"/>
        <v>11261.68</v>
      </c>
      <c r="N22" s="1"/>
    </row>
    <row r="23" spans="1:14" ht="12.75" customHeight="1" x14ac:dyDescent="0.2">
      <c r="A23" s="34" t="s">
        <v>55</v>
      </c>
      <c r="B23" s="35" t="s">
        <v>56</v>
      </c>
      <c r="C23" s="34" t="s">
        <v>57</v>
      </c>
      <c r="D23" s="36" t="s">
        <v>58</v>
      </c>
      <c r="E23" s="37" t="s">
        <v>46</v>
      </c>
      <c r="F23" s="38">
        <v>139.44999999999999</v>
      </c>
      <c r="G23" s="39">
        <v>3.53</v>
      </c>
      <c r="H23" s="39">
        <v>7.79</v>
      </c>
      <c r="I23" s="39">
        <f t="shared" si="7"/>
        <v>11.32</v>
      </c>
      <c r="J23" s="39">
        <f t="shared" si="8"/>
        <v>492.25849999999991</v>
      </c>
      <c r="K23" s="39">
        <f t="shared" si="9"/>
        <v>1086.3154999999999</v>
      </c>
      <c r="L23" s="39">
        <f t="shared" si="10"/>
        <v>1578.5739999999998</v>
      </c>
      <c r="M23" s="39">
        <f t="shared" si="11"/>
        <v>2018.52</v>
      </c>
      <c r="N23" s="1"/>
    </row>
    <row r="24" spans="1:14" ht="12.75" customHeight="1" x14ac:dyDescent="0.2">
      <c r="A24" s="34" t="s">
        <v>59</v>
      </c>
      <c r="B24" s="35" t="s">
        <v>60</v>
      </c>
      <c r="C24" s="34" t="s">
        <v>61</v>
      </c>
      <c r="D24" s="36" t="s">
        <v>62</v>
      </c>
      <c r="E24" s="37" t="s">
        <v>63</v>
      </c>
      <c r="F24" s="38">
        <v>9.5</v>
      </c>
      <c r="G24" s="39">
        <v>34.119999999999997</v>
      </c>
      <c r="H24" s="39">
        <v>71.94</v>
      </c>
      <c r="I24" s="39">
        <f t="shared" si="7"/>
        <v>106.06</v>
      </c>
      <c r="J24" s="39">
        <f t="shared" si="8"/>
        <v>324.14</v>
      </c>
      <c r="K24" s="39">
        <f t="shared" si="9"/>
        <v>683.43</v>
      </c>
      <c r="L24" s="39">
        <f t="shared" si="10"/>
        <v>1007.57</v>
      </c>
      <c r="M24" s="39">
        <f t="shared" si="11"/>
        <v>1288.3800000000001</v>
      </c>
      <c r="N24" s="1"/>
    </row>
    <row r="25" spans="1:14" ht="12.75" customHeight="1" x14ac:dyDescent="0.2">
      <c r="A25" s="34" t="s">
        <v>64</v>
      </c>
      <c r="B25" s="35" t="s">
        <v>65</v>
      </c>
      <c r="C25" s="34" t="s">
        <v>61</v>
      </c>
      <c r="D25" s="36" t="s">
        <v>62</v>
      </c>
      <c r="E25" s="37" t="s">
        <v>63</v>
      </c>
      <c r="F25" s="38">
        <v>1.2</v>
      </c>
      <c r="G25" s="39">
        <v>34.119999999999997</v>
      </c>
      <c r="H25" s="39">
        <v>71.94</v>
      </c>
      <c r="I25" s="39">
        <f t="shared" si="7"/>
        <v>106.06</v>
      </c>
      <c r="J25" s="39">
        <f t="shared" si="8"/>
        <v>40.943999999999996</v>
      </c>
      <c r="K25" s="39">
        <f t="shared" si="9"/>
        <v>86.327999999999989</v>
      </c>
      <c r="L25" s="39">
        <f t="shared" si="10"/>
        <v>127.27199999999999</v>
      </c>
      <c r="M25" s="39">
        <f t="shared" si="11"/>
        <v>162.74</v>
      </c>
      <c r="N25" s="1"/>
    </row>
    <row r="26" spans="1:14" ht="12.75" customHeight="1" x14ac:dyDescent="0.2">
      <c r="A26" s="34" t="s">
        <v>66</v>
      </c>
      <c r="B26" s="35" t="s">
        <v>67</v>
      </c>
      <c r="C26" s="34" t="s">
        <v>61</v>
      </c>
      <c r="D26" s="36" t="s">
        <v>62</v>
      </c>
      <c r="E26" s="37" t="s">
        <v>63</v>
      </c>
      <c r="F26" s="38">
        <v>1.4</v>
      </c>
      <c r="G26" s="39">
        <v>34.119999999999997</v>
      </c>
      <c r="H26" s="39">
        <v>71.94</v>
      </c>
      <c r="I26" s="39">
        <f t="shared" si="7"/>
        <v>106.06</v>
      </c>
      <c r="J26" s="39">
        <f t="shared" si="8"/>
        <v>47.767999999999994</v>
      </c>
      <c r="K26" s="39">
        <f t="shared" si="9"/>
        <v>100.71599999999999</v>
      </c>
      <c r="L26" s="39">
        <f t="shared" si="10"/>
        <v>148.48399999999998</v>
      </c>
      <c r="M26" s="39">
        <f t="shared" si="11"/>
        <v>189.87</v>
      </c>
      <c r="N26" s="1"/>
    </row>
    <row r="27" spans="1:14" ht="12.75" customHeight="1" x14ac:dyDescent="0.2">
      <c r="A27" s="34" t="s">
        <v>68</v>
      </c>
      <c r="B27" s="35" t="s">
        <v>69</v>
      </c>
      <c r="C27" s="34" t="s">
        <v>70</v>
      </c>
      <c r="D27" s="36" t="s">
        <v>71</v>
      </c>
      <c r="E27" s="37" t="s">
        <v>63</v>
      </c>
      <c r="F27" s="38">
        <v>2.2000000000000002</v>
      </c>
      <c r="G27" s="39">
        <v>82.25</v>
      </c>
      <c r="H27" s="39">
        <v>173.23</v>
      </c>
      <c r="I27" s="39">
        <f t="shared" si="7"/>
        <v>255.48</v>
      </c>
      <c r="J27" s="39">
        <f t="shared" si="8"/>
        <v>180.95000000000002</v>
      </c>
      <c r="K27" s="39">
        <f t="shared" si="9"/>
        <v>381.10599999999999</v>
      </c>
      <c r="L27" s="39">
        <f t="shared" si="10"/>
        <v>562.05600000000004</v>
      </c>
      <c r="M27" s="39">
        <f t="shared" si="11"/>
        <v>718.7</v>
      </c>
      <c r="N27" s="1"/>
    </row>
    <row r="28" spans="1:14" ht="12.75" customHeight="1" x14ac:dyDescent="0.2">
      <c r="A28" s="34" t="s">
        <v>72</v>
      </c>
      <c r="B28" s="35" t="s">
        <v>73</v>
      </c>
      <c r="C28" s="34" t="s">
        <v>74</v>
      </c>
      <c r="D28" s="36" t="s">
        <v>75</v>
      </c>
      <c r="E28" s="37" t="s">
        <v>76</v>
      </c>
      <c r="F28" s="38">
        <v>50</v>
      </c>
      <c r="G28" s="39">
        <v>0.16</v>
      </c>
      <c r="H28" s="39">
        <v>0.44</v>
      </c>
      <c r="I28" s="39">
        <f t="shared" si="7"/>
        <v>0.6</v>
      </c>
      <c r="J28" s="39">
        <f t="shared" si="8"/>
        <v>8</v>
      </c>
      <c r="K28" s="39">
        <f t="shared" si="9"/>
        <v>22</v>
      </c>
      <c r="L28" s="39">
        <f t="shared" si="10"/>
        <v>30</v>
      </c>
      <c r="M28" s="39">
        <f t="shared" si="11"/>
        <v>38.36</v>
      </c>
      <c r="N28" s="1"/>
    </row>
    <row r="29" spans="1:14" ht="12.75" customHeight="1" x14ac:dyDescent="0.2">
      <c r="A29" s="34" t="s">
        <v>77</v>
      </c>
      <c r="B29" s="35" t="s">
        <v>78</v>
      </c>
      <c r="C29" s="34" t="s">
        <v>79</v>
      </c>
      <c r="D29" s="36" t="s">
        <v>80</v>
      </c>
      <c r="E29" s="37" t="s">
        <v>81</v>
      </c>
      <c r="F29" s="38">
        <v>500</v>
      </c>
      <c r="G29" s="39">
        <v>0.16</v>
      </c>
      <c r="H29" s="39">
        <v>0.45</v>
      </c>
      <c r="I29" s="39">
        <f t="shared" si="7"/>
        <v>0.61</v>
      </c>
      <c r="J29" s="39">
        <f t="shared" si="8"/>
        <v>80</v>
      </c>
      <c r="K29" s="39">
        <f t="shared" si="9"/>
        <v>225</v>
      </c>
      <c r="L29" s="39">
        <f t="shared" si="10"/>
        <v>305</v>
      </c>
      <c r="M29" s="39">
        <f t="shared" si="11"/>
        <v>390</v>
      </c>
      <c r="N29" s="1"/>
    </row>
    <row r="30" spans="1:14" ht="12.75" customHeight="1" x14ac:dyDescent="0.2">
      <c r="A30" s="34" t="s">
        <v>82</v>
      </c>
      <c r="B30" s="35" t="s">
        <v>83</v>
      </c>
      <c r="C30" s="34" t="s">
        <v>84</v>
      </c>
      <c r="D30" s="36" t="s">
        <v>85</v>
      </c>
      <c r="E30" s="37" t="s">
        <v>81</v>
      </c>
      <c r="F30" s="38">
        <v>30</v>
      </c>
      <c r="G30" s="39">
        <v>0.09</v>
      </c>
      <c r="H30" s="39">
        <v>0.35</v>
      </c>
      <c r="I30" s="39">
        <f t="shared" si="7"/>
        <v>0.43999999999999995</v>
      </c>
      <c r="J30" s="39">
        <f t="shared" si="8"/>
        <v>2.6999999999999997</v>
      </c>
      <c r="K30" s="39">
        <f t="shared" si="9"/>
        <v>10.5</v>
      </c>
      <c r="L30" s="39">
        <f t="shared" si="10"/>
        <v>13.2</v>
      </c>
      <c r="M30" s="39">
        <f t="shared" si="11"/>
        <v>16.88</v>
      </c>
      <c r="N30" s="1"/>
    </row>
    <row r="31" spans="1:14" ht="12.75" customHeight="1" x14ac:dyDescent="0.2">
      <c r="A31" s="34" t="s">
        <v>86</v>
      </c>
      <c r="B31" s="35" t="s">
        <v>83</v>
      </c>
      <c r="C31" s="34" t="s">
        <v>87</v>
      </c>
      <c r="D31" s="36" t="s">
        <v>88</v>
      </c>
      <c r="E31" s="37" t="s">
        <v>46</v>
      </c>
      <c r="F31" s="38">
        <v>30</v>
      </c>
      <c r="G31" s="39">
        <v>0.89</v>
      </c>
      <c r="H31" s="39">
        <v>2.14</v>
      </c>
      <c r="I31" s="39">
        <f t="shared" si="7"/>
        <v>3.0300000000000002</v>
      </c>
      <c r="J31" s="39">
        <f t="shared" si="8"/>
        <v>26.7</v>
      </c>
      <c r="K31" s="39">
        <f t="shared" si="9"/>
        <v>64.2</v>
      </c>
      <c r="L31" s="39">
        <f t="shared" si="10"/>
        <v>90.9</v>
      </c>
      <c r="M31" s="39">
        <f t="shared" si="11"/>
        <v>116.23</v>
      </c>
      <c r="N31" s="1"/>
    </row>
    <row r="32" spans="1:14" ht="12.75" customHeight="1" x14ac:dyDescent="0.2">
      <c r="A32" s="245"/>
      <c r="B32" s="246"/>
      <c r="C32" s="246"/>
      <c r="D32" s="246"/>
      <c r="E32" s="246"/>
      <c r="F32" s="246"/>
      <c r="G32" s="246"/>
      <c r="H32" s="246"/>
      <c r="I32" s="246"/>
      <c r="J32" s="246"/>
      <c r="K32" s="246"/>
      <c r="L32" s="246"/>
      <c r="M32" s="240"/>
      <c r="N32" s="1"/>
    </row>
    <row r="33" spans="1:14" ht="12.75" customHeight="1" x14ac:dyDescent="0.2">
      <c r="A33" s="29" t="s">
        <v>89</v>
      </c>
      <c r="B33" s="239" t="s">
        <v>90</v>
      </c>
      <c r="C33" s="240"/>
      <c r="D33" s="30"/>
      <c r="E33" s="31"/>
      <c r="F33" s="32"/>
      <c r="G33" s="33"/>
      <c r="H33" s="33"/>
      <c r="I33" s="33"/>
      <c r="J33" s="33">
        <f t="shared" ref="J33:M33" si="12">SUM(J34:J47)</f>
        <v>15023.424000000001</v>
      </c>
      <c r="K33" s="33">
        <f t="shared" si="12"/>
        <v>8856.5939999999991</v>
      </c>
      <c r="L33" s="33">
        <f t="shared" si="12"/>
        <v>23880.018</v>
      </c>
      <c r="M33" s="33">
        <f t="shared" si="12"/>
        <v>30535.38</v>
      </c>
      <c r="N33" s="22">
        <f>M33</f>
        <v>30535.38</v>
      </c>
    </row>
    <row r="34" spans="1:14" ht="12.75" customHeight="1" x14ac:dyDescent="0.2">
      <c r="A34" s="23" t="s">
        <v>91</v>
      </c>
      <c r="B34" s="24" t="s">
        <v>92</v>
      </c>
      <c r="C34" s="23" t="s">
        <v>93</v>
      </c>
      <c r="D34" s="25" t="s">
        <v>94</v>
      </c>
      <c r="E34" s="26" t="s">
        <v>63</v>
      </c>
      <c r="F34" s="27">
        <v>12</v>
      </c>
      <c r="G34" s="28">
        <v>292.33999999999997</v>
      </c>
      <c r="H34" s="28">
        <v>55.58</v>
      </c>
      <c r="I34" s="28">
        <f t="shared" ref="I34:I35" si="13">G34+H34</f>
        <v>347.91999999999996</v>
      </c>
      <c r="J34" s="28">
        <f t="shared" ref="J34:J47" si="14">G34*F34</f>
        <v>3508.08</v>
      </c>
      <c r="K34" s="28">
        <f t="shared" ref="K34:K47" si="15">H34*F34</f>
        <v>666.96</v>
      </c>
      <c r="L34" s="28">
        <f t="shared" ref="L34:L47" si="16">J34+K34</f>
        <v>4175.04</v>
      </c>
      <c r="M34" s="28">
        <f t="shared" ref="M34:M47" si="17">ROUND(L34*(1+$M$4),2)</f>
        <v>5338.62</v>
      </c>
      <c r="N34" s="1"/>
    </row>
    <row r="35" spans="1:14" ht="12.75" customHeight="1" x14ac:dyDescent="0.2">
      <c r="A35" s="23" t="s">
        <v>95</v>
      </c>
      <c r="B35" s="24" t="s">
        <v>96</v>
      </c>
      <c r="C35" s="23" t="s">
        <v>97</v>
      </c>
      <c r="D35" s="25" t="s">
        <v>98</v>
      </c>
      <c r="E35" s="26" t="s">
        <v>46</v>
      </c>
      <c r="F35" s="27">
        <v>140</v>
      </c>
      <c r="G35" s="28">
        <v>1.96</v>
      </c>
      <c r="H35" s="28">
        <v>1.68</v>
      </c>
      <c r="I35" s="28">
        <f t="shared" si="13"/>
        <v>3.6399999999999997</v>
      </c>
      <c r="J35" s="28">
        <f t="shared" si="14"/>
        <v>274.39999999999998</v>
      </c>
      <c r="K35" s="28">
        <f t="shared" si="15"/>
        <v>235.2</v>
      </c>
      <c r="L35" s="28">
        <f t="shared" si="16"/>
        <v>509.59999999999997</v>
      </c>
      <c r="M35" s="28">
        <f t="shared" si="17"/>
        <v>651.63</v>
      </c>
      <c r="N35" s="1"/>
    </row>
    <row r="36" spans="1:14" ht="12.75" customHeight="1" x14ac:dyDescent="0.2">
      <c r="A36" s="23" t="s">
        <v>99</v>
      </c>
      <c r="B36" s="24" t="s">
        <v>96</v>
      </c>
      <c r="C36" s="23" t="s">
        <v>100</v>
      </c>
      <c r="D36" s="25" t="s">
        <v>101</v>
      </c>
      <c r="E36" s="26" t="s">
        <v>46</v>
      </c>
      <c r="F36" s="27">
        <v>140</v>
      </c>
      <c r="G36" s="28">
        <v>16.59</v>
      </c>
      <c r="H36" s="28">
        <v>12.51</v>
      </c>
      <c r="I36" s="28">
        <f t="shared" ref="I36:I44" si="18">SUM(G36:H36)</f>
        <v>29.1</v>
      </c>
      <c r="J36" s="28">
        <f t="shared" si="14"/>
        <v>2322.6</v>
      </c>
      <c r="K36" s="28">
        <f t="shared" si="15"/>
        <v>1751.3999999999999</v>
      </c>
      <c r="L36" s="28">
        <f t="shared" si="16"/>
        <v>4074</v>
      </c>
      <c r="M36" s="28">
        <f t="shared" si="17"/>
        <v>5209.42</v>
      </c>
      <c r="N36" s="1"/>
    </row>
    <row r="37" spans="1:14" ht="12.75" customHeight="1" x14ac:dyDescent="0.2">
      <c r="A37" s="23" t="s">
        <v>102</v>
      </c>
      <c r="B37" s="24" t="s">
        <v>103</v>
      </c>
      <c r="C37" s="23" t="s">
        <v>104</v>
      </c>
      <c r="D37" s="25" t="s">
        <v>105</v>
      </c>
      <c r="E37" s="26" t="s">
        <v>46</v>
      </c>
      <c r="F37" s="27">
        <v>50</v>
      </c>
      <c r="G37" s="28">
        <v>74.849999999999994</v>
      </c>
      <c r="H37" s="28">
        <v>60.09</v>
      </c>
      <c r="I37" s="28">
        <f t="shared" si="18"/>
        <v>134.94</v>
      </c>
      <c r="J37" s="28">
        <f t="shared" si="14"/>
        <v>3742.4999999999995</v>
      </c>
      <c r="K37" s="28">
        <f t="shared" si="15"/>
        <v>3004.5</v>
      </c>
      <c r="L37" s="28">
        <f t="shared" si="16"/>
        <v>6747</v>
      </c>
      <c r="M37" s="28">
        <f t="shared" si="17"/>
        <v>8627.39</v>
      </c>
      <c r="N37" s="1"/>
    </row>
    <row r="38" spans="1:14" ht="12.75" customHeight="1" x14ac:dyDescent="0.2">
      <c r="A38" s="23" t="s">
        <v>106</v>
      </c>
      <c r="B38" s="24" t="s">
        <v>103</v>
      </c>
      <c r="C38" s="23" t="s">
        <v>97</v>
      </c>
      <c r="D38" s="25" t="s">
        <v>98</v>
      </c>
      <c r="E38" s="26" t="s">
        <v>46</v>
      </c>
      <c r="F38" s="27">
        <f>F37*2</f>
        <v>100</v>
      </c>
      <c r="G38" s="28">
        <v>1.88</v>
      </c>
      <c r="H38" s="28">
        <v>1.68</v>
      </c>
      <c r="I38" s="28">
        <f t="shared" si="18"/>
        <v>3.5599999999999996</v>
      </c>
      <c r="J38" s="28">
        <f t="shared" si="14"/>
        <v>188</v>
      </c>
      <c r="K38" s="28">
        <f t="shared" si="15"/>
        <v>168</v>
      </c>
      <c r="L38" s="28">
        <f t="shared" si="16"/>
        <v>356</v>
      </c>
      <c r="M38" s="28">
        <f t="shared" si="17"/>
        <v>455.22</v>
      </c>
      <c r="N38" s="1"/>
    </row>
    <row r="39" spans="1:14" ht="12.75" customHeight="1" x14ac:dyDescent="0.2">
      <c r="A39" s="23" t="s">
        <v>107</v>
      </c>
      <c r="B39" s="24" t="s">
        <v>103</v>
      </c>
      <c r="C39" s="23" t="s">
        <v>108</v>
      </c>
      <c r="D39" s="25" t="s">
        <v>109</v>
      </c>
      <c r="E39" s="26" t="s">
        <v>46</v>
      </c>
      <c r="F39" s="27">
        <f>F37*2</f>
        <v>100</v>
      </c>
      <c r="G39" s="28">
        <v>16.18</v>
      </c>
      <c r="H39" s="28">
        <v>13.42</v>
      </c>
      <c r="I39" s="28">
        <f t="shared" si="18"/>
        <v>29.6</v>
      </c>
      <c r="J39" s="28">
        <f t="shared" si="14"/>
        <v>1618</v>
      </c>
      <c r="K39" s="28">
        <f t="shared" si="15"/>
        <v>1342</v>
      </c>
      <c r="L39" s="28">
        <f t="shared" si="16"/>
        <v>2960</v>
      </c>
      <c r="M39" s="28">
        <f t="shared" si="17"/>
        <v>3784.95</v>
      </c>
      <c r="N39" s="1"/>
    </row>
    <row r="40" spans="1:14" ht="12.75" customHeight="1" x14ac:dyDescent="0.2">
      <c r="A40" s="23" t="s">
        <v>110</v>
      </c>
      <c r="B40" s="24" t="s">
        <v>103</v>
      </c>
      <c r="C40" s="23" t="s">
        <v>111</v>
      </c>
      <c r="D40" s="25" t="s">
        <v>112</v>
      </c>
      <c r="E40" s="26" t="s">
        <v>46</v>
      </c>
      <c r="F40" s="27">
        <f>F37*2</f>
        <v>100</v>
      </c>
      <c r="G40" s="28">
        <v>5.86</v>
      </c>
      <c r="H40" s="28">
        <v>5.53</v>
      </c>
      <c r="I40" s="28">
        <f t="shared" si="18"/>
        <v>11.39</v>
      </c>
      <c r="J40" s="28">
        <f t="shared" si="14"/>
        <v>586</v>
      </c>
      <c r="K40" s="28">
        <f t="shared" si="15"/>
        <v>553</v>
      </c>
      <c r="L40" s="28">
        <f t="shared" si="16"/>
        <v>1139</v>
      </c>
      <c r="M40" s="28">
        <f t="shared" si="17"/>
        <v>1456.44</v>
      </c>
      <c r="N40" s="1"/>
    </row>
    <row r="41" spans="1:14" ht="12.75" customHeight="1" x14ac:dyDescent="0.2">
      <c r="A41" s="23" t="s">
        <v>113</v>
      </c>
      <c r="B41" s="24" t="s">
        <v>114</v>
      </c>
      <c r="C41" s="23" t="s">
        <v>97</v>
      </c>
      <c r="D41" s="25" t="s">
        <v>98</v>
      </c>
      <c r="E41" s="26" t="s">
        <v>46</v>
      </c>
      <c r="F41" s="27">
        <v>10</v>
      </c>
      <c r="G41" s="28">
        <v>1.96</v>
      </c>
      <c r="H41" s="28">
        <v>1.68</v>
      </c>
      <c r="I41" s="28">
        <f t="shared" si="18"/>
        <v>3.6399999999999997</v>
      </c>
      <c r="J41" s="28">
        <f t="shared" si="14"/>
        <v>19.600000000000001</v>
      </c>
      <c r="K41" s="28">
        <f t="shared" si="15"/>
        <v>16.8</v>
      </c>
      <c r="L41" s="28">
        <f t="shared" si="16"/>
        <v>36.400000000000006</v>
      </c>
      <c r="M41" s="28">
        <f t="shared" si="17"/>
        <v>46.54</v>
      </c>
      <c r="N41" s="1"/>
    </row>
    <row r="42" spans="1:14" ht="12.75" customHeight="1" x14ac:dyDescent="0.2">
      <c r="A42" s="23" t="s">
        <v>115</v>
      </c>
      <c r="B42" s="24" t="s">
        <v>116</v>
      </c>
      <c r="C42" s="23" t="s">
        <v>97</v>
      </c>
      <c r="D42" s="25" t="s">
        <v>98</v>
      </c>
      <c r="E42" s="26" t="s">
        <v>46</v>
      </c>
      <c r="F42" s="27">
        <v>12.5</v>
      </c>
      <c r="G42" s="28">
        <v>1.96</v>
      </c>
      <c r="H42" s="28">
        <v>1.68</v>
      </c>
      <c r="I42" s="28">
        <f t="shared" si="18"/>
        <v>3.6399999999999997</v>
      </c>
      <c r="J42" s="28">
        <f t="shared" si="14"/>
        <v>24.5</v>
      </c>
      <c r="K42" s="28">
        <f t="shared" si="15"/>
        <v>21</v>
      </c>
      <c r="L42" s="28">
        <f t="shared" si="16"/>
        <v>45.5</v>
      </c>
      <c r="M42" s="28">
        <f t="shared" si="17"/>
        <v>58.18</v>
      </c>
      <c r="N42" s="1"/>
    </row>
    <row r="43" spans="1:14" ht="12.75" customHeight="1" x14ac:dyDescent="0.2">
      <c r="A43" s="23" t="s">
        <v>117</v>
      </c>
      <c r="B43" s="24" t="s">
        <v>118</v>
      </c>
      <c r="C43" s="23" t="s">
        <v>108</v>
      </c>
      <c r="D43" s="25" t="s">
        <v>109</v>
      </c>
      <c r="E43" s="26" t="s">
        <v>46</v>
      </c>
      <c r="F43" s="27">
        <f>F41+F42</f>
        <v>22.5</v>
      </c>
      <c r="G43" s="28">
        <v>16.96</v>
      </c>
      <c r="H43" s="28">
        <v>13.42</v>
      </c>
      <c r="I43" s="28">
        <f t="shared" si="18"/>
        <v>30.380000000000003</v>
      </c>
      <c r="J43" s="28">
        <f t="shared" si="14"/>
        <v>381.6</v>
      </c>
      <c r="K43" s="28">
        <f t="shared" si="15"/>
        <v>301.95</v>
      </c>
      <c r="L43" s="28">
        <f t="shared" si="16"/>
        <v>683.55</v>
      </c>
      <c r="M43" s="28">
        <f t="shared" si="17"/>
        <v>874.06</v>
      </c>
      <c r="N43" s="1"/>
    </row>
    <row r="44" spans="1:14" ht="12.75" customHeight="1" x14ac:dyDescent="0.2">
      <c r="A44" s="23" t="s">
        <v>119</v>
      </c>
      <c r="B44" s="24" t="s">
        <v>114</v>
      </c>
      <c r="C44" s="23" t="s">
        <v>111</v>
      </c>
      <c r="D44" s="25" t="s">
        <v>112</v>
      </c>
      <c r="E44" s="26" t="s">
        <v>46</v>
      </c>
      <c r="F44" s="27">
        <f>F41</f>
        <v>10</v>
      </c>
      <c r="G44" s="28">
        <v>7.06</v>
      </c>
      <c r="H44" s="28">
        <v>5.52</v>
      </c>
      <c r="I44" s="28">
        <f t="shared" si="18"/>
        <v>12.579999999999998</v>
      </c>
      <c r="J44" s="28">
        <f t="shared" si="14"/>
        <v>70.599999999999994</v>
      </c>
      <c r="K44" s="28">
        <f t="shared" si="15"/>
        <v>55.199999999999996</v>
      </c>
      <c r="L44" s="28">
        <f t="shared" si="16"/>
        <v>125.79999999999998</v>
      </c>
      <c r="M44" s="28">
        <f t="shared" si="17"/>
        <v>160.86000000000001</v>
      </c>
      <c r="N44" s="1"/>
    </row>
    <row r="45" spans="1:14" ht="12.75" customHeight="1" x14ac:dyDescent="0.2">
      <c r="A45" s="23" t="s">
        <v>120</v>
      </c>
      <c r="B45" s="24" t="s">
        <v>121</v>
      </c>
      <c r="C45" s="23" t="s">
        <v>122</v>
      </c>
      <c r="D45" s="25" t="s">
        <v>123</v>
      </c>
      <c r="E45" s="26" t="s">
        <v>81</v>
      </c>
      <c r="F45" s="27">
        <v>23.8</v>
      </c>
      <c r="G45" s="28">
        <v>80.38</v>
      </c>
      <c r="H45" s="28">
        <v>18.68</v>
      </c>
      <c r="I45" s="28">
        <f t="shared" ref="I45:I47" si="19">G45+H45</f>
        <v>99.06</v>
      </c>
      <c r="J45" s="28">
        <f t="shared" si="14"/>
        <v>1913.0439999999999</v>
      </c>
      <c r="K45" s="28">
        <f t="shared" si="15"/>
        <v>444.584</v>
      </c>
      <c r="L45" s="28">
        <f t="shared" si="16"/>
        <v>2357.6279999999997</v>
      </c>
      <c r="M45" s="28">
        <f t="shared" si="17"/>
        <v>3014.7</v>
      </c>
      <c r="N45" s="1"/>
    </row>
    <row r="46" spans="1:14" ht="12.75" customHeight="1" x14ac:dyDescent="0.2">
      <c r="A46" s="23" t="s">
        <v>124</v>
      </c>
      <c r="B46" s="24" t="s">
        <v>125</v>
      </c>
      <c r="C46" s="23" t="s">
        <v>108</v>
      </c>
      <c r="D46" s="25" t="s">
        <v>109</v>
      </c>
      <c r="E46" s="26" t="s">
        <v>46</v>
      </c>
      <c r="F46" s="27">
        <v>20</v>
      </c>
      <c r="G46" s="28">
        <v>16.96</v>
      </c>
      <c r="H46" s="28">
        <v>13.42</v>
      </c>
      <c r="I46" s="28">
        <f t="shared" si="19"/>
        <v>30.380000000000003</v>
      </c>
      <c r="J46" s="28">
        <f t="shared" si="14"/>
        <v>339.20000000000005</v>
      </c>
      <c r="K46" s="28">
        <f t="shared" si="15"/>
        <v>268.39999999999998</v>
      </c>
      <c r="L46" s="28">
        <f t="shared" si="16"/>
        <v>607.6</v>
      </c>
      <c r="M46" s="28">
        <f t="shared" si="17"/>
        <v>776.94</v>
      </c>
      <c r="N46" s="1"/>
    </row>
    <row r="47" spans="1:14" ht="12.75" customHeight="1" x14ac:dyDescent="0.2">
      <c r="A47" s="23" t="s">
        <v>126</v>
      </c>
      <c r="B47" s="24" t="s">
        <v>125</v>
      </c>
      <c r="C47" s="23" t="s">
        <v>111</v>
      </c>
      <c r="D47" s="25" t="s">
        <v>112</v>
      </c>
      <c r="E47" s="26" t="s">
        <v>46</v>
      </c>
      <c r="F47" s="27">
        <v>5</v>
      </c>
      <c r="G47" s="28">
        <v>7.06</v>
      </c>
      <c r="H47" s="28">
        <v>5.52</v>
      </c>
      <c r="I47" s="28">
        <f t="shared" si="19"/>
        <v>12.579999999999998</v>
      </c>
      <c r="J47" s="28">
        <f t="shared" si="14"/>
        <v>35.299999999999997</v>
      </c>
      <c r="K47" s="28">
        <f t="shared" si="15"/>
        <v>27.599999999999998</v>
      </c>
      <c r="L47" s="28">
        <f t="shared" si="16"/>
        <v>62.899999999999991</v>
      </c>
      <c r="M47" s="28">
        <f t="shared" si="17"/>
        <v>80.430000000000007</v>
      </c>
      <c r="N47" s="1"/>
    </row>
    <row r="48" spans="1:14" ht="12.75" customHeight="1" x14ac:dyDescent="0.2">
      <c r="A48" s="23"/>
      <c r="B48" s="24"/>
      <c r="C48" s="23"/>
      <c r="D48" s="25"/>
      <c r="E48" s="26"/>
      <c r="F48" s="27"/>
      <c r="G48" s="28"/>
      <c r="H48" s="28"/>
      <c r="I48" s="28"/>
      <c r="J48" s="28"/>
      <c r="K48" s="28"/>
      <c r="L48" s="28"/>
      <c r="M48" s="28"/>
      <c r="N48" s="1"/>
    </row>
    <row r="49" spans="1:14" ht="12.75" customHeight="1" x14ac:dyDescent="0.2">
      <c r="A49" s="29" t="s">
        <v>127</v>
      </c>
      <c r="B49" s="239" t="s">
        <v>128</v>
      </c>
      <c r="C49" s="240"/>
      <c r="D49" s="30"/>
      <c r="E49" s="31"/>
      <c r="F49" s="32"/>
      <c r="G49" s="33"/>
      <c r="H49" s="33"/>
      <c r="I49" s="33"/>
      <c r="J49" s="33">
        <f t="shared" ref="J49:M49" si="20">SUM(J50:J54)</f>
        <v>43750.527000000002</v>
      </c>
      <c r="K49" s="33">
        <f t="shared" si="20"/>
        <v>7816.0470000000005</v>
      </c>
      <c r="L49" s="33">
        <f t="shared" si="20"/>
        <v>51566.574000000008</v>
      </c>
      <c r="M49" s="33">
        <f t="shared" si="20"/>
        <v>65938.17</v>
      </c>
      <c r="N49" s="22">
        <f>M49</f>
        <v>65938.17</v>
      </c>
    </row>
    <row r="50" spans="1:14" ht="12.75" customHeight="1" x14ac:dyDescent="0.2">
      <c r="A50" s="23" t="s">
        <v>129</v>
      </c>
      <c r="B50" s="24" t="s">
        <v>130</v>
      </c>
      <c r="C50" s="23" t="s">
        <v>131</v>
      </c>
      <c r="D50" s="25" t="s">
        <v>132</v>
      </c>
      <c r="E50" s="26" t="s">
        <v>46</v>
      </c>
      <c r="F50" s="27">
        <v>224.5</v>
      </c>
      <c r="G50" s="28">
        <v>89.88</v>
      </c>
      <c r="H50" s="28">
        <v>13.09</v>
      </c>
      <c r="I50" s="28">
        <f>G50+H50</f>
        <v>102.97</v>
      </c>
      <c r="J50" s="28">
        <f t="shared" ref="J50:J54" si="21">G50*F50</f>
        <v>20178.059999999998</v>
      </c>
      <c r="K50" s="28">
        <f t="shared" ref="K50:K54" si="22">H50*F50</f>
        <v>2938.7049999999999</v>
      </c>
      <c r="L50" s="28">
        <f t="shared" ref="L50:L54" si="23">J50+K50</f>
        <v>23116.764999999999</v>
      </c>
      <c r="M50" s="28">
        <f t="shared" ref="M50:M54" si="24">ROUND(L50*(1+$M$4),2)</f>
        <v>29559.41</v>
      </c>
      <c r="N50" s="1"/>
    </row>
    <row r="51" spans="1:14" ht="12.75" customHeight="1" x14ac:dyDescent="0.2">
      <c r="A51" s="23" t="s">
        <v>133</v>
      </c>
      <c r="B51" s="24" t="s">
        <v>134</v>
      </c>
      <c r="C51" s="40" t="s">
        <v>135</v>
      </c>
      <c r="D51" s="25" t="s">
        <v>136</v>
      </c>
      <c r="E51" s="26" t="s">
        <v>46</v>
      </c>
      <c r="F51" s="27">
        <v>224.5</v>
      </c>
      <c r="G51" s="28">
        <v>30.73</v>
      </c>
      <c r="H51" s="28">
        <v>0</v>
      </c>
      <c r="I51" s="28">
        <v>30.73</v>
      </c>
      <c r="J51" s="28">
        <f t="shared" si="21"/>
        <v>6898.8850000000002</v>
      </c>
      <c r="K51" s="28">
        <f t="shared" si="22"/>
        <v>0</v>
      </c>
      <c r="L51" s="28">
        <f t="shared" si="23"/>
        <v>6898.8850000000002</v>
      </c>
      <c r="M51" s="28">
        <f t="shared" si="24"/>
        <v>8821.6</v>
      </c>
      <c r="N51" s="1"/>
    </row>
    <row r="52" spans="1:14" ht="12.75" customHeight="1" x14ac:dyDescent="0.2">
      <c r="A52" s="23" t="s">
        <v>137</v>
      </c>
      <c r="B52" s="24" t="s">
        <v>138</v>
      </c>
      <c r="C52" s="23" t="s">
        <v>111</v>
      </c>
      <c r="D52" s="25" t="s">
        <v>139</v>
      </c>
      <c r="E52" s="26" t="s">
        <v>46</v>
      </c>
      <c r="F52" s="27">
        <f>F50*2</f>
        <v>449</v>
      </c>
      <c r="G52" s="28">
        <v>7.06</v>
      </c>
      <c r="H52" s="28">
        <v>5.52</v>
      </c>
      <c r="I52" s="28">
        <f t="shared" ref="I52:I54" si="25">G52+H52</f>
        <v>12.579999999999998</v>
      </c>
      <c r="J52" s="28">
        <f t="shared" si="21"/>
        <v>3169.9399999999996</v>
      </c>
      <c r="K52" s="28">
        <f t="shared" si="22"/>
        <v>2478.48</v>
      </c>
      <c r="L52" s="28">
        <f t="shared" si="23"/>
        <v>5648.42</v>
      </c>
      <c r="M52" s="28">
        <f t="shared" si="24"/>
        <v>7222.63</v>
      </c>
      <c r="N52" s="1"/>
    </row>
    <row r="53" spans="1:14" ht="12.75" customHeight="1" x14ac:dyDescent="0.2">
      <c r="A53" s="23" t="s">
        <v>140</v>
      </c>
      <c r="B53" s="24" t="s">
        <v>141</v>
      </c>
      <c r="C53" s="23" t="s">
        <v>142</v>
      </c>
      <c r="D53" s="25" t="s">
        <v>143</v>
      </c>
      <c r="E53" s="26" t="s">
        <v>46</v>
      </c>
      <c r="F53" s="27">
        <v>18.7</v>
      </c>
      <c r="G53" s="28">
        <v>201.34</v>
      </c>
      <c r="H53" s="28">
        <v>59.06</v>
      </c>
      <c r="I53" s="28">
        <f t="shared" si="25"/>
        <v>260.39999999999998</v>
      </c>
      <c r="J53" s="28">
        <f t="shared" si="21"/>
        <v>3765.058</v>
      </c>
      <c r="K53" s="28">
        <f t="shared" si="22"/>
        <v>1104.422</v>
      </c>
      <c r="L53" s="28">
        <f t="shared" si="23"/>
        <v>4869.4799999999996</v>
      </c>
      <c r="M53" s="28">
        <f t="shared" si="24"/>
        <v>6226.6</v>
      </c>
      <c r="N53" s="1"/>
    </row>
    <row r="54" spans="1:14" ht="12.75" customHeight="1" x14ac:dyDescent="0.2">
      <c r="A54" s="23" t="s">
        <v>144</v>
      </c>
      <c r="B54" s="24" t="s">
        <v>145</v>
      </c>
      <c r="C54" s="23" t="s">
        <v>146</v>
      </c>
      <c r="D54" s="25" t="s">
        <v>147</v>
      </c>
      <c r="E54" s="26" t="s">
        <v>46</v>
      </c>
      <c r="F54" s="27">
        <v>26.8</v>
      </c>
      <c r="G54" s="28">
        <v>363.38</v>
      </c>
      <c r="H54" s="28">
        <v>48.3</v>
      </c>
      <c r="I54" s="28">
        <f t="shared" si="25"/>
        <v>411.68</v>
      </c>
      <c r="J54" s="28">
        <f t="shared" si="21"/>
        <v>9738.5840000000007</v>
      </c>
      <c r="K54" s="28">
        <f t="shared" si="22"/>
        <v>1294.44</v>
      </c>
      <c r="L54" s="28">
        <f t="shared" si="23"/>
        <v>11033.024000000001</v>
      </c>
      <c r="M54" s="28">
        <f t="shared" si="24"/>
        <v>14107.93</v>
      </c>
      <c r="N54" s="1"/>
    </row>
    <row r="55" spans="1:14" ht="12.75" customHeight="1" x14ac:dyDescent="0.2">
      <c r="A55" s="248"/>
      <c r="B55" s="246"/>
      <c r="C55" s="246"/>
      <c r="D55" s="246"/>
      <c r="E55" s="246"/>
      <c r="F55" s="246"/>
      <c r="G55" s="246"/>
      <c r="H55" s="246"/>
      <c r="I55" s="246"/>
      <c r="J55" s="246"/>
      <c r="K55" s="246"/>
      <c r="L55" s="246"/>
      <c r="M55" s="240"/>
      <c r="N55" s="1"/>
    </row>
    <row r="56" spans="1:14" ht="12.75" customHeight="1" x14ac:dyDescent="0.2">
      <c r="A56" s="29" t="s">
        <v>148</v>
      </c>
      <c r="B56" s="239" t="s">
        <v>149</v>
      </c>
      <c r="C56" s="240"/>
      <c r="D56" s="30"/>
      <c r="E56" s="31"/>
      <c r="F56" s="32"/>
      <c r="G56" s="33"/>
      <c r="H56" s="33"/>
      <c r="I56" s="33"/>
      <c r="J56" s="33">
        <f t="shared" ref="J56:M56" si="26">SUM(J57:J66)</f>
        <v>41480.614999999998</v>
      </c>
      <c r="K56" s="33">
        <f t="shared" si="26"/>
        <v>14450.634000000004</v>
      </c>
      <c r="L56" s="33">
        <f t="shared" si="26"/>
        <v>55931.249000000003</v>
      </c>
      <c r="M56" s="33">
        <f t="shared" si="26"/>
        <v>71519.28</v>
      </c>
      <c r="N56" s="22">
        <f>M56</f>
        <v>71519.28</v>
      </c>
    </row>
    <row r="57" spans="1:14" ht="12.75" customHeight="1" x14ac:dyDescent="0.2">
      <c r="A57" s="23" t="s">
        <v>150</v>
      </c>
      <c r="B57" s="24" t="s">
        <v>151</v>
      </c>
      <c r="C57" s="23" t="s">
        <v>152</v>
      </c>
      <c r="D57" s="25" t="s">
        <v>153</v>
      </c>
      <c r="E57" s="26" t="s">
        <v>30</v>
      </c>
      <c r="F57" s="27">
        <v>240</v>
      </c>
      <c r="G57" s="28">
        <v>0.21</v>
      </c>
      <c r="H57" s="28">
        <v>0.15</v>
      </c>
      <c r="I57" s="28">
        <f t="shared" ref="I57:I66" si="27">G57+H57</f>
        <v>0.36</v>
      </c>
      <c r="J57" s="28">
        <f t="shared" ref="J57:J66" si="28">G57*F57</f>
        <v>50.4</v>
      </c>
      <c r="K57" s="28">
        <f t="shared" ref="K57:K66" si="29">H57*F57</f>
        <v>36</v>
      </c>
      <c r="L57" s="28">
        <f t="shared" ref="L57:L66" si="30">J57+K57</f>
        <v>86.4</v>
      </c>
      <c r="M57" s="28">
        <f t="shared" ref="M57:M66" si="31">ROUND(L57*(1+$M$4),2)</f>
        <v>110.48</v>
      </c>
      <c r="N57" s="1"/>
    </row>
    <row r="58" spans="1:14" ht="12.75" customHeight="1" x14ac:dyDescent="0.2">
      <c r="A58" s="23" t="s">
        <v>154</v>
      </c>
      <c r="B58" s="24" t="s">
        <v>155</v>
      </c>
      <c r="C58" s="23" t="s">
        <v>156</v>
      </c>
      <c r="D58" s="25" t="s">
        <v>157</v>
      </c>
      <c r="E58" s="26" t="s">
        <v>158</v>
      </c>
      <c r="F58" s="27">
        <f>240*0.2</f>
        <v>48</v>
      </c>
      <c r="G58" s="28">
        <v>46.33</v>
      </c>
      <c r="H58" s="28">
        <v>18.850000000000001</v>
      </c>
      <c r="I58" s="28">
        <f t="shared" si="27"/>
        <v>65.180000000000007</v>
      </c>
      <c r="J58" s="28">
        <f t="shared" si="28"/>
        <v>2223.84</v>
      </c>
      <c r="K58" s="28">
        <f t="shared" si="29"/>
        <v>904.80000000000007</v>
      </c>
      <c r="L58" s="28">
        <f t="shared" si="30"/>
        <v>3128.6400000000003</v>
      </c>
      <c r="M58" s="28">
        <f t="shared" si="31"/>
        <v>4000.59</v>
      </c>
      <c r="N58" s="1"/>
    </row>
    <row r="59" spans="1:14" ht="12.75" customHeight="1" x14ac:dyDescent="0.2">
      <c r="A59" s="23" t="s">
        <v>159</v>
      </c>
      <c r="B59" s="24" t="s">
        <v>160</v>
      </c>
      <c r="C59" s="23" t="s">
        <v>161</v>
      </c>
      <c r="D59" s="25" t="s">
        <v>162</v>
      </c>
      <c r="E59" s="26" t="s">
        <v>30</v>
      </c>
      <c r="F59" s="27">
        <v>135</v>
      </c>
      <c r="G59" s="28">
        <v>77.36</v>
      </c>
      <c r="H59" s="28">
        <v>15.44</v>
      </c>
      <c r="I59" s="28">
        <f t="shared" si="27"/>
        <v>92.8</v>
      </c>
      <c r="J59" s="28">
        <f t="shared" si="28"/>
        <v>10443.6</v>
      </c>
      <c r="K59" s="28">
        <f t="shared" si="29"/>
        <v>2084.4</v>
      </c>
      <c r="L59" s="28">
        <f t="shared" si="30"/>
        <v>12528</v>
      </c>
      <c r="M59" s="28">
        <f t="shared" si="31"/>
        <v>16019.55</v>
      </c>
      <c r="N59" s="1"/>
    </row>
    <row r="60" spans="1:14" ht="12.75" customHeight="1" x14ac:dyDescent="0.2">
      <c r="A60" s="23" t="s">
        <v>163</v>
      </c>
      <c r="B60" s="24" t="s">
        <v>164</v>
      </c>
      <c r="C60" s="23" t="s">
        <v>165</v>
      </c>
      <c r="D60" s="25" t="s">
        <v>166</v>
      </c>
      <c r="E60" s="26" t="s">
        <v>158</v>
      </c>
      <c r="F60" s="27">
        <v>7.2</v>
      </c>
      <c r="G60" s="28">
        <v>467.09</v>
      </c>
      <c r="H60" s="28">
        <v>202.83</v>
      </c>
      <c r="I60" s="28">
        <f t="shared" si="27"/>
        <v>669.92</v>
      </c>
      <c r="J60" s="28">
        <f t="shared" si="28"/>
        <v>3363.0479999999998</v>
      </c>
      <c r="K60" s="28">
        <f t="shared" si="29"/>
        <v>1460.3760000000002</v>
      </c>
      <c r="L60" s="28">
        <f t="shared" si="30"/>
        <v>4823.424</v>
      </c>
      <c r="M60" s="28">
        <f t="shared" si="31"/>
        <v>6167.71</v>
      </c>
      <c r="N60" s="1"/>
    </row>
    <row r="61" spans="1:14" ht="12.75" customHeight="1" x14ac:dyDescent="0.2">
      <c r="A61" s="23" t="s">
        <v>167</v>
      </c>
      <c r="B61" s="24" t="s">
        <v>168</v>
      </c>
      <c r="C61" s="23" t="s">
        <v>169</v>
      </c>
      <c r="D61" s="25" t="s">
        <v>170</v>
      </c>
      <c r="E61" s="26" t="s">
        <v>171</v>
      </c>
      <c r="F61" s="27">
        <v>6</v>
      </c>
      <c r="G61" s="28">
        <v>96.02</v>
      </c>
      <c r="H61" s="28">
        <v>31.41</v>
      </c>
      <c r="I61" s="28">
        <f t="shared" si="27"/>
        <v>127.42999999999999</v>
      </c>
      <c r="J61" s="28">
        <f t="shared" si="28"/>
        <v>576.12</v>
      </c>
      <c r="K61" s="28">
        <f t="shared" si="29"/>
        <v>188.46</v>
      </c>
      <c r="L61" s="28">
        <f t="shared" si="30"/>
        <v>764.58</v>
      </c>
      <c r="M61" s="28">
        <f t="shared" si="31"/>
        <v>977.67</v>
      </c>
      <c r="N61" s="1"/>
    </row>
    <row r="62" spans="1:14" ht="12.75" customHeight="1" x14ac:dyDescent="0.2">
      <c r="A62" s="23" t="s">
        <v>172</v>
      </c>
      <c r="B62" s="24" t="s">
        <v>173</v>
      </c>
      <c r="C62" s="23" t="s">
        <v>174</v>
      </c>
      <c r="D62" s="25" t="s">
        <v>175</v>
      </c>
      <c r="E62" s="26" t="s">
        <v>171</v>
      </c>
      <c r="F62" s="27">
        <v>12</v>
      </c>
      <c r="G62" s="28">
        <v>214.07</v>
      </c>
      <c r="H62" s="28">
        <v>19.98</v>
      </c>
      <c r="I62" s="28">
        <f t="shared" si="27"/>
        <v>234.04999999999998</v>
      </c>
      <c r="J62" s="28">
        <f t="shared" si="28"/>
        <v>2568.84</v>
      </c>
      <c r="K62" s="28">
        <f t="shared" si="29"/>
        <v>239.76</v>
      </c>
      <c r="L62" s="28">
        <f t="shared" si="30"/>
        <v>2808.6000000000004</v>
      </c>
      <c r="M62" s="28">
        <f t="shared" si="31"/>
        <v>3591.36</v>
      </c>
      <c r="N62" s="1"/>
    </row>
    <row r="63" spans="1:14" ht="12.75" customHeight="1" x14ac:dyDescent="0.2">
      <c r="A63" s="23" t="s">
        <v>176</v>
      </c>
      <c r="B63" s="24" t="s">
        <v>177</v>
      </c>
      <c r="C63" s="23" t="s">
        <v>178</v>
      </c>
      <c r="D63" s="25" t="s">
        <v>179</v>
      </c>
      <c r="E63" s="26" t="s">
        <v>30</v>
      </c>
      <c r="F63" s="27">
        <v>500</v>
      </c>
      <c r="G63" s="28">
        <v>27.458494000000002</v>
      </c>
      <c r="H63" s="28">
        <v>14.991576</v>
      </c>
      <c r="I63" s="28">
        <f t="shared" si="27"/>
        <v>42.450070000000004</v>
      </c>
      <c r="J63" s="28">
        <f t="shared" si="28"/>
        <v>13729.247000000001</v>
      </c>
      <c r="K63" s="28">
        <f t="shared" si="29"/>
        <v>7495.7880000000005</v>
      </c>
      <c r="L63" s="28">
        <f t="shared" si="30"/>
        <v>21225.035000000003</v>
      </c>
      <c r="M63" s="28">
        <f t="shared" si="31"/>
        <v>27140.45</v>
      </c>
      <c r="N63" s="1"/>
    </row>
    <row r="64" spans="1:14" ht="12.75" customHeight="1" x14ac:dyDescent="0.2">
      <c r="A64" s="23" t="s">
        <v>180</v>
      </c>
      <c r="B64" s="24" t="s">
        <v>181</v>
      </c>
      <c r="C64" s="23" t="s">
        <v>182</v>
      </c>
      <c r="D64" s="25" t="s">
        <v>183</v>
      </c>
      <c r="E64" s="26" t="s">
        <v>46</v>
      </c>
      <c r="F64" s="27">
        <v>88</v>
      </c>
      <c r="G64" s="28">
        <v>66.88</v>
      </c>
      <c r="H64" s="28">
        <v>8.02</v>
      </c>
      <c r="I64" s="28">
        <f t="shared" si="27"/>
        <v>74.899999999999991</v>
      </c>
      <c r="J64" s="28">
        <f t="shared" si="28"/>
        <v>5885.44</v>
      </c>
      <c r="K64" s="28">
        <f t="shared" si="29"/>
        <v>705.76</v>
      </c>
      <c r="L64" s="28">
        <f t="shared" si="30"/>
        <v>6591.2</v>
      </c>
      <c r="M64" s="28">
        <f t="shared" si="31"/>
        <v>8428.17</v>
      </c>
      <c r="N64" s="1"/>
    </row>
    <row r="65" spans="1:14" ht="12.75" customHeight="1" x14ac:dyDescent="0.2">
      <c r="A65" s="23" t="s">
        <v>184</v>
      </c>
      <c r="B65" s="24" t="s">
        <v>185</v>
      </c>
      <c r="C65" s="23" t="s">
        <v>186</v>
      </c>
      <c r="D65" s="25" t="s">
        <v>187</v>
      </c>
      <c r="E65" s="26" t="s">
        <v>46</v>
      </c>
      <c r="F65" s="27">
        <v>46</v>
      </c>
      <c r="G65" s="28">
        <v>43.28</v>
      </c>
      <c r="H65" s="28">
        <v>21.89</v>
      </c>
      <c r="I65" s="28">
        <f t="shared" si="27"/>
        <v>65.17</v>
      </c>
      <c r="J65" s="28">
        <f t="shared" si="28"/>
        <v>1990.88</v>
      </c>
      <c r="K65" s="28">
        <f t="shared" si="29"/>
        <v>1006.94</v>
      </c>
      <c r="L65" s="28">
        <f t="shared" si="30"/>
        <v>2997.82</v>
      </c>
      <c r="M65" s="28">
        <f t="shared" si="31"/>
        <v>3833.31</v>
      </c>
      <c r="N65" s="1"/>
    </row>
    <row r="66" spans="1:14" ht="12.75" customHeight="1" x14ac:dyDescent="0.2">
      <c r="A66" s="23" t="s">
        <v>188</v>
      </c>
      <c r="B66" s="24" t="s">
        <v>189</v>
      </c>
      <c r="C66" s="23" t="s">
        <v>186</v>
      </c>
      <c r="D66" s="25" t="s">
        <v>187</v>
      </c>
      <c r="E66" s="26" t="s">
        <v>46</v>
      </c>
      <c r="F66" s="27">
        <v>15</v>
      </c>
      <c r="G66" s="28">
        <v>43.28</v>
      </c>
      <c r="H66" s="28">
        <v>21.89</v>
      </c>
      <c r="I66" s="28">
        <f t="shared" si="27"/>
        <v>65.17</v>
      </c>
      <c r="J66" s="28">
        <f t="shared" si="28"/>
        <v>649.20000000000005</v>
      </c>
      <c r="K66" s="28">
        <f t="shared" si="29"/>
        <v>328.35</v>
      </c>
      <c r="L66" s="28">
        <f t="shared" si="30"/>
        <v>977.55000000000007</v>
      </c>
      <c r="M66" s="28">
        <f t="shared" si="31"/>
        <v>1249.99</v>
      </c>
      <c r="N66" s="1"/>
    </row>
    <row r="67" spans="1:14" ht="12.75" customHeight="1" x14ac:dyDescent="0.2">
      <c r="A67" s="41"/>
      <c r="B67" s="42"/>
      <c r="C67" s="43"/>
      <c r="D67" s="44"/>
      <c r="E67" s="45"/>
      <c r="F67" s="46"/>
      <c r="G67" s="46"/>
      <c r="H67" s="46"/>
      <c r="I67" s="46"/>
      <c r="J67" s="46"/>
      <c r="K67" s="46"/>
      <c r="L67" s="46"/>
      <c r="M67" s="46"/>
      <c r="N67" s="1"/>
    </row>
    <row r="68" spans="1:14" ht="12.75" customHeight="1" x14ac:dyDescent="0.2">
      <c r="A68" s="29" t="s">
        <v>190</v>
      </c>
      <c r="B68" s="239" t="s">
        <v>191</v>
      </c>
      <c r="C68" s="240"/>
      <c r="D68" s="30"/>
      <c r="E68" s="31"/>
      <c r="F68" s="32"/>
      <c r="G68" s="33"/>
      <c r="H68" s="33"/>
      <c r="I68" s="33"/>
      <c r="J68" s="33">
        <f t="shared" ref="J68:M68" si="32">SUM(J69:J82)</f>
        <v>144065.84350000002</v>
      </c>
      <c r="K68" s="33">
        <f t="shared" si="32"/>
        <v>6168.7804999999998</v>
      </c>
      <c r="L68" s="33">
        <f t="shared" si="32"/>
        <v>150234.62400000004</v>
      </c>
      <c r="M68" s="33">
        <f t="shared" si="32"/>
        <v>192105.01</v>
      </c>
      <c r="N68" s="22">
        <f>M68</f>
        <v>192105.01</v>
      </c>
    </row>
    <row r="69" spans="1:14" ht="12.75" customHeight="1" x14ac:dyDescent="0.2">
      <c r="A69" s="23" t="s">
        <v>192</v>
      </c>
      <c r="B69" s="24" t="s">
        <v>193</v>
      </c>
      <c r="C69" s="23" t="s">
        <v>194</v>
      </c>
      <c r="D69" s="25" t="s">
        <v>195</v>
      </c>
      <c r="E69" s="26" t="s">
        <v>46</v>
      </c>
      <c r="F69" s="27">
        <v>54</v>
      </c>
      <c r="G69" s="28">
        <v>407.16</v>
      </c>
      <c r="H69" s="28">
        <v>24.36</v>
      </c>
      <c r="I69" s="28">
        <f t="shared" ref="I69:I82" si="33">G69+H69</f>
        <v>431.52000000000004</v>
      </c>
      <c r="J69" s="28">
        <f t="shared" ref="J69:J82" si="34">G69*F69</f>
        <v>21986.640000000003</v>
      </c>
      <c r="K69" s="28">
        <f t="shared" ref="K69:K82" si="35">H69*F69</f>
        <v>1315.44</v>
      </c>
      <c r="L69" s="28">
        <f t="shared" ref="L69:L82" si="36">J69+K69</f>
        <v>23302.080000000002</v>
      </c>
      <c r="M69" s="28">
        <f t="shared" ref="M69:M82" si="37">ROUND(L69*(1+$M$4),2)</f>
        <v>29796.37</v>
      </c>
      <c r="N69" s="1"/>
    </row>
    <row r="70" spans="1:14" ht="12.75" customHeight="1" x14ac:dyDescent="0.2">
      <c r="A70" s="23" t="s">
        <v>196</v>
      </c>
      <c r="B70" s="24" t="s">
        <v>197</v>
      </c>
      <c r="C70" s="23" t="s">
        <v>198</v>
      </c>
      <c r="D70" s="25" t="s">
        <v>199</v>
      </c>
      <c r="E70" s="26" t="s">
        <v>46</v>
      </c>
      <c r="F70" s="27">
        <v>3.6</v>
      </c>
      <c r="G70" s="28">
        <v>359.95</v>
      </c>
      <c r="H70" s="28">
        <v>13.16</v>
      </c>
      <c r="I70" s="28">
        <f t="shared" si="33"/>
        <v>373.11</v>
      </c>
      <c r="J70" s="28">
        <f t="shared" si="34"/>
        <v>1295.82</v>
      </c>
      <c r="K70" s="28">
        <f t="shared" si="35"/>
        <v>47.376000000000005</v>
      </c>
      <c r="L70" s="28">
        <f t="shared" si="36"/>
        <v>1343.1959999999999</v>
      </c>
      <c r="M70" s="28">
        <f t="shared" si="37"/>
        <v>1717.54</v>
      </c>
      <c r="N70" s="1"/>
    </row>
    <row r="71" spans="1:14" ht="12.75" customHeight="1" x14ac:dyDescent="0.2">
      <c r="A71" s="23" t="s">
        <v>200</v>
      </c>
      <c r="B71" s="24" t="s">
        <v>201</v>
      </c>
      <c r="C71" s="23" t="s">
        <v>202</v>
      </c>
      <c r="D71" s="25" t="s">
        <v>203</v>
      </c>
      <c r="E71" s="26" t="s">
        <v>46</v>
      </c>
      <c r="F71" s="27">
        <v>22</v>
      </c>
      <c r="G71" s="28">
        <v>673.58</v>
      </c>
      <c r="H71" s="28">
        <v>43.33</v>
      </c>
      <c r="I71" s="28">
        <f t="shared" si="33"/>
        <v>716.91000000000008</v>
      </c>
      <c r="J71" s="28">
        <f t="shared" si="34"/>
        <v>14818.76</v>
      </c>
      <c r="K71" s="28">
        <f t="shared" si="35"/>
        <v>953.26</v>
      </c>
      <c r="L71" s="28">
        <f t="shared" si="36"/>
        <v>15772.02</v>
      </c>
      <c r="M71" s="28">
        <f t="shared" si="37"/>
        <v>20167.68</v>
      </c>
      <c r="N71" s="1"/>
    </row>
    <row r="72" spans="1:14" ht="12.75" customHeight="1" x14ac:dyDescent="0.2">
      <c r="A72" s="23" t="s">
        <v>204</v>
      </c>
      <c r="B72" s="24" t="s">
        <v>205</v>
      </c>
      <c r="C72" s="23" t="s">
        <v>202</v>
      </c>
      <c r="D72" s="25" t="s">
        <v>203</v>
      </c>
      <c r="E72" s="26" t="s">
        <v>46</v>
      </c>
      <c r="F72" s="27">
        <v>4.5999999999999996</v>
      </c>
      <c r="G72" s="28">
        <v>673.58</v>
      </c>
      <c r="H72" s="28">
        <v>43.33</v>
      </c>
      <c r="I72" s="28">
        <f t="shared" si="33"/>
        <v>716.91000000000008</v>
      </c>
      <c r="J72" s="28">
        <f t="shared" si="34"/>
        <v>3098.4679999999998</v>
      </c>
      <c r="K72" s="28">
        <f t="shared" si="35"/>
        <v>199.31799999999998</v>
      </c>
      <c r="L72" s="28">
        <f t="shared" si="36"/>
        <v>3297.7860000000001</v>
      </c>
      <c r="M72" s="28">
        <f t="shared" si="37"/>
        <v>4216.88</v>
      </c>
      <c r="N72" s="1"/>
    </row>
    <row r="73" spans="1:14" ht="12.75" customHeight="1" x14ac:dyDescent="0.2">
      <c r="A73" s="23" t="s">
        <v>206</v>
      </c>
      <c r="B73" s="24" t="s">
        <v>207</v>
      </c>
      <c r="C73" s="23" t="s">
        <v>202</v>
      </c>
      <c r="D73" s="25" t="s">
        <v>203</v>
      </c>
      <c r="E73" s="26" t="s">
        <v>46</v>
      </c>
      <c r="F73" s="27">
        <v>0.35</v>
      </c>
      <c r="G73" s="28">
        <v>673.58</v>
      </c>
      <c r="H73" s="28">
        <v>43.33</v>
      </c>
      <c r="I73" s="28">
        <f t="shared" si="33"/>
        <v>716.91000000000008</v>
      </c>
      <c r="J73" s="28">
        <f t="shared" si="34"/>
        <v>235.75299999999999</v>
      </c>
      <c r="K73" s="28">
        <f t="shared" si="35"/>
        <v>15.165499999999998</v>
      </c>
      <c r="L73" s="28">
        <f t="shared" si="36"/>
        <v>250.91849999999999</v>
      </c>
      <c r="M73" s="28">
        <f t="shared" si="37"/>
        <v>320.85000000000002</v>
      </c>
      <c r="N73" s="1"/>
    </row>
    <row r="74" spans="1:14" ht="12.75" customHeight="1" x14ac:dyDescent="0.2">
      <c r="A74" s="23" t="s">
        <v>208</v>
      </c>
      <c r="B74" s="24" t="s">
        <v>209</v>
      </c>
      <c r="C74" s="40" t="s">
        <v>210</v>
      </c>
      <c r="D74" s="25" t="s">
        <v>211</v>
      </c>
      <c r="E74" s="26" t="s">
        <v>46</v>
      </c>
      <c r="F74" s="27">
        <v>96</v>
      </c>
      <c r="G74" s="28">
        <v>748.57</v>
      </c>
      <c r="H74" s="28">
        <v>18.27</v>
      </c>
      <c r="I74" s="28">
        <f t="shared" si="33"/>
        <v>766.84</v>
      </c>
      <c r="J74" s="28">
        <f t="shared" si="34"/>
        <v>71862.720000000001</v>
      </c>
      <c r="K74" s="28">
        <f t="shared" si="35"/>
        <v>1753.92</v>
      </c>
      <c r="L74" s="28">
        <f t="shared" si="36"/>
        <v>73616.639999999999</v>
      </c>
      <c r="M74" s="28">
        <f t="shared" si="37"/>
        <v>94133.6</v>
      </c>
      <c r="N74" s="1"/>
    </row>
    <row r="75" spans="1:14" ht="12.75" customHeight="1" x14ac:dyDescent="0.2">
      <c r="A75" s="23" t="s">
        <v>212</v>
      </c>
      <c r="B75" s="24" t="s">
        <v>213</v>
      </c>
      <c r="C75" s="40" t="s">
        <v>210</v>
      </c>
      <c r="D75" s="25" t="s">
        <v>211</v>
      </c>
      <c r="E75" s="26" t="s">
        <v>46</v>
      </c>
      <c r="F75" s="27">
        <v>6.6</v>
      </c>
      <c r="G75" s="28">
        <v>748.57</v>
      </c>
      <c r="H75" s="28">
        <v>18.27</v>
      </c>
      <c r="I75" s="28">
        <f t="shared" si="33"/>
        <v>766.84</v>
      </c>
      <c r="J75" s="28">
        <f t="shared" si="34"/>
        <v>4940.5619999999999</v>
      </c>
      <c r="K75" s="28">
        <f t="shared" si="35"/>
        <v>120.58199999999999</v>
      </c>
      <c r="L75" s="28">
        <f t="shared" si="36"/>
        <v>5061.1440000000002</v>
      </c>
      <c r="M75" s="28">
        <f t="shared" si="37"/>
        <v>6471.68</v>
      </c>
      <c r="N75" s="1"/>
    </row>
    <row r="76" spans="1:14" ht="12.75" customHeight="1" x14ac:dyDescent="0.2">
      <c r="A76" s="23" t="s">
        <v>214</v>
      </c>
      <c r="B76" s="24" t="s">
        <v>215</v>
      </c>
      <c r="C76" s="23" t="s">
        <v>216</v>
      </c>
      <c r="D76" s="25" t="s">
        <v>217</v>
      </c>
      <c r="E76" s="26" t="s">
        <v>76</v>
      </c>
      <c r="F76" s="27">
        <v>2</v>
      </c>
      <c r="G76" s="28">
        <v>26.39</v>
      </c>
      <c r="H76" s="28">
        <v>57.62</v>
      </c>
      <c r="I76" s="28">
        <f t="shared" si="33"/>
        <v>84.009999999999991</v>
      </c>
      <c r="J76" s="28">
        <f t="shared" si="34"/>
        <v>52.78</v>
      </c>
      <c r="K76" s="28">
        <f t="shared" si="35"/>
        <v>115.24</v>
      </c>
      <c r="L76" s="28">
        <f t="shared" si="36"/>
        <v>168.01999999999998</v>
      </c>
      <c r="M76" s="28">
        <f t="shared" si="37"/>
        <v>214.85</v>
      </c>
      <c r="N76" s="1"/>
    </row>
    <row r="77" spans="1:14" ht="12.75" customHeight="1" x14ac:dyDescent="0.2">
      <c r="A77" s="23" t="s">
        <v>218</v>
      </c>
      <c r="B77" s="24" t="s">
        <v>219</v>
      </c>
      <c r="C77" s="23" t="s">
        <v>220</v>
      </c>
      <c r="D77" s="25" t="s">
        <v>221</v>
      </c>
      <c r="E77" s="26" t="s">
        <v>46</v>
      </c>
      <c r="F77" s="27">
        <v>5.35</v>
      </c>
      <c r="G77" s="28">
        <v>901.19</v>
      </c>
      <c r="H77" s="28">
        <v>9.02</v>
      </c>
      <c r="I77" s="28">
        <f t="shared" si="33"/>
        <v>910.21</v>
      </c>
      <c r="J77" s="28">
        <f t="shared" si="34"/>
        <v>4821.3665000000001</v>
      </c>
      <c r="K77" s="28">
        <f t="shared" si="35"/>
        <v>48.256999999999998</v>
      </c>
      <c r="L77" s="28">
        <f t="shared" si="36"/>
        <v>4869.6234999999997</v>
      </c>
      <c r="M77" s="28">
        <f t="shared" si="37"/>
        <v>6226.79</v>
      </c>
      <c r="N77" s="1"/>
    </row>
    <row r="78" spans="1:14" ht="12.75" customHeight="1" x14ac:dyDescent="0.2">
      <c r="A78" s="23" t="s">
        <v>222</v>
      </c>
      <c r="B78" s="24" t="s">
        <v>223</v>
      </c>
      <c r="C78" s="23" t="s">
        <v>224</v>
      </c>
      <c r="D78" s="25" t="s">
        <v>225</v>
      </c>
      <c r="E78" s="26" t="s">
        <v>76</v>
      </c>
      <c r="F78" s="27">
        <v>7</v>
      </c>
      <c r="G78" s="28">
        <v>574.38</v>
      </c>
      <c r="H78" s="28">
        <v>61.25</v>
      </c>
      <c r="I78" s="28">
        <f t="shared" si="33"/>
        <v>635.63</v>
      </c>
      <c r="J78" s="28">
        <f t="shared" si="34"/>
        <v>4020.66</v>
      </c>
      <c r="K78" s="28">
        <f t="shared" si="35"/>
        <v>428.75</v>
      </c>
      <c r="L78" s="28">
        <f t="shared" si="36"/>
        <v>4449.41</v>
      </c>
      <c r="M78" s="28">
        <f t="shared" si="37"/>
        <v>5689.46</v>
      </c>
      <c r="N78" s="1"/>
    </row>
    <row r="79" spans="1:14" ht="12.75" customHeight="1" x14ac:dyDescent="0.2">
      <c r="A79" s="23" t="s">
        <v>226</v>
      </c>
      <c r="B79" s="24" t="s">
        <v>227</v>
      </c>
      <c r="C79" s="23" t="s">
        <v>228</v>
      </c>
      <c r="D79" s="25" t="s">
        <v>229</v>
      </c>
      <c r="E79" s="26" t="s">
        <v>76</v>
      </c>
      <c r="F79" s="27">
        <v>9</v>
      </c>
      <c r="G79" s="28">
        <v>857.22</v>
      </c>
      <c r="H79" s="28">
        <v>103.59</v>
      </c>
      <c r="I79" s="28">
        <f t="shared" si="33"/>
        <v>960.81000000000006</v>
      </c>
      <c r="J79" s="28">
        <f t="shared" si="34"/>
        <v>7714.9800000000005</v>
      </c>
      <c r="K79" s="28">
        <f t="shared" si="35"/>
        <v>932.31000000000006</v>
      </c>
      <c r="L79" s="28">
        <f t="shared" si="36"/>
        <v>8647.2900000000009</v>
      </c>
      <c r="M79" s="28">
        <f t="shared" si="37"/>
        <v>11057.29</v>
      </c>
      <c r="N79" s="1"/>
    </row>
    <row r="80" spans="1:14" ht="12.75" customHeight="1" x14ac:dyDescent="0.2">
      <c r="A80" s="23" t="s">
        <v>230</v>
      </c>
      <c r="B80" s="24" t="s">
        <v>231</v>
      </c>
      <c r="C80" s="40" t="s">
        <v>232</v>
      </c>
      <c r="D80" s="25" t="s">
        <v>233</v>
      </c>
      <c r="E80" s="26" t="s">
        <v>46</v>
      </c>
      <c r="F80" s="27">
        <v>2.1</v>
      </c>
      <c r="G80" s="28">
        <v>498.83</v>
      </c>
      <c r="H80" s="28">
        <v>7.14</v>
      </c>
      <c r="I80" s="28">
        <f t="shared" si="33"/>
        <v>505.96999999999997</v>
      </c>
      <c r="J80" s="28">
        <f t="shared" si="34"/>
        <v>1047.5430000000001</v>
      </c>
      <c r="K80" s="28">
        <f t="shared" si="35"/>
        <v>14.994</v>
      </c>
      <c r="L80" s="28">
        <f t="shared" si="36"/>
        <v>1062.537</v>
      </c>
      <c r="M80" s="28">
        <f t="shared" si="37"/>
        <v>1358.67</v>
      </c>
      <c r="N80" s="1"/>
    </row>
    <row r="81" spans="1:14" ht="12.75" customHeight="1" x14ac:dyDescent="0.2">
      <c r="A81" s="23" t="s">
        <v>234</v>
      </c>
      <c r="B81" s="24" t="s">
        <v>235</v>
      </c>
      <c r="C81" s="40" t="s">
        <v>232</v>
      </c>
      <c r="D81" s="25" t="s">
        <v>236</v>
      </c>
      <c r="E81" s="26" t="s">
        <v>46</v>
      </c>
      <c r="F81" s="27">
        <v>14.7</v>
      </c>
      <c r="G81" s="28">
        <v>498.83</v>
      </c>
      <c r="H81" s="28">
        <v>7.14</v>
      </c>
      <c r="I81" s="28">
        <f t="shared" si="33"/>
        <v>505.96999999999997</v>
      </c>
      <c r="J81" s="28">
        <f t="shared" si="34"/>
        <v>7332.8009999999995</v>
      </c>
      <c r="K81" s="28">
        <f t="shared" si="35"/>
        <v>104.95799999999998</v>
      </c>
      <c r="L81" s="28">
        <f t="shared" si="36"/>
        <v>7437.7589999999991</v>
      </c>
      <c r="M81" s="28">
        <f t="shared" si="37"/>
        <v>9510.66</v>
      </c>
      <c r="N81" s="1"/>
    </row>
    <row r="82" spans="1:14" ht="12.75" customHeight="1" x14ac:dyDescent="0.2">
      <c r="A82" s="23" t="s">
        <v>237</v>
      </c>
      <c r="B82" s="24" t="s">
        <v>238</v>
      </c>
      <c r="C82" s="23" t="s">
        <v>239</v>
      </c>
      <c r="D82" s="25" t="s">
        <v>240</v>
      </c>
      <c r="E82" s="26" t="s">
        <v>76</v>
      </c>
      <c r="F82" s="27">
        <v>7</v>
      </c>
      <c r="G82" s="28">
        <v>119.57</v>
      </c>
      <c r="H82" s="28">
        <v>17.03</v>
      </c>
      <c r="I82" s="28">
        <f t="shared" si="33"/>
        <v>136.6</v>
      </c>
      <c r="J82" s="28">
        <f t="shared" si="34"/>
        <v>836.99</v>
      </c>
      <c r="K82" s="28">
        <f t="shared" si="35"/>
        <v>119.21000000000001</v>
      </c>
      <c r="L82" s="28">
        <f t="shared" si="36"/>
        <v>956.2</v>
      </c>
      <c r="M82" s="28">
        <f t="shared" si="37"/>
        <v>1222.69</v>
      </c>
      <c r="N82" s="1"/>
    </row>
    <row r="83" spans="1:14" ht="12.75" customHeight="1" x14ac:dyDescent="0.2">
      <c r="A83" s="41"/>
      <c r="B83" s="42"/>
      <c r="C83" s="43"/>
      <c r="D83" s="44"/>
      <c r="E83" s="45"/>
      <c r="F83" s="46"/>
      <c r="G83" s="46"/>
      <c r="H83" s="46"/>
      <c r="I83" s="46"/>
      <c r="J83" s="46"/>
      <c r="K83" s="46"/>
      <c r="L83" s="46"/>
      <c r="M83" s="46"/>
      <c r="N83" s="1"/>
    </row>
    <row r="84" spans="1:14" ht="12.75" customHeight="1" x14ac:dyDescent="0.2">
      <c r="A84" s="29" t="s">
        <v>241</v>
      </c>
      <c r="B84" s="239" t="s">
        <v>242</v>
      </c>
      <c r="C84" s="240"/>
      <c r="D84" s="47"/>
      <c r="E84" s="48"/>
      <c r="F84" s="49"/>
      <c r="G84" s="33"/>
      <c r="H84" s="33"/>
      <c r="I84" s="33"/>
      <c r="J84" s="33">
        <f t="shared" ref="J84:M84" si="38">SUM(J85:J89)</f>
        <v>16268.8</v>
      </c>
      <c r="K84" s="33">
        <f t="shared" si="38"/>
        <v>8450.48</v>
      </c>
      <c r="L84" s="33">
        <f t="shared" si="38"/>
        <v>24719.279999999999</v>
      </c>
      <c r="M84" s="33">
        <f t="shared" si="38"/>
        <v>31608.55</v>
      </c>
      <c r="N84" s="22">
        <f>M84</f>
        <v>31608.55</v>
      </c>
    </row>
    <row r="85" spans="1:14" ht="12.75" customHeight="1" x14ac:dyDescent="0.2">
      <c r="A85" s="23" t="s">
        <v>243</v>
      </c>
      <c r="B85" s="24" t="s">
        <v>244</v>
      </c>
      <c r="C85" s="23" t="s">
        <v>245</v>
      </c>
      <c r="D85" s="25" t="s">
        <v>246</v>
      </c>
      <c r="E85" s="26" t="s">
        <v>46</v>
      </c>
      <c r="F85" s="27">
        <f>SUM(F86:F87)</f>
        <v>1038</v>
      </c>
      <c r="G85" s="28">
        <v>1.83</v>
      </c>
      <c r="H85" s="28">
        <v>1.04</v>
      </c>
      <c r="I85" s="28">
        <f t="shared" ref="I85:I89" si="39">G85+H85</f>
        <v>2.87</v>
      </c>
      <c r="J85" s="28">
        <f t="shared" ref="J85:J89" si="40">G85*F85</f>
        <v>1899.54</v>
      </c>
      <c r="K85" s="28">
        <f t="shared" ref="K85:K89" si="41">H85*F85</f>
        <v>1079.52</v>
      </c>
      <c r="L85" s="28">
        <f t="shared" ref="L85:L89" si="42">J85+K85</f>
        <v>2979.06</v>
      </c>
      <c r="M85" s="28">
        <f t="shared" ref="M85:M89" si="43">ROUND(L85*(1+$M$4),2)</f>
        <v>3809.32</v>
      </c>
      <c r="N85" s="1"/>
    </row>
    <row r="86" spans="1:14" ht="12.75" customHeight="1" x14ac:dyDescent="0.2">
      <c r="A86" s="23" t="s">
        <v>247</v>
      </c>
      <c r="B86" s="24" t="s">
        <v>248</v>
      </c>
      <c r="C86" s="23" t="s">
        <v>249</v>
      </c>
      <c r="D86" s="25" t="s">
        <v>250</v>
      </c>
      <c r="E86" s="26" t="s">
        <v>46</v>
      </c>
      <c r="F86" s="27">
        <v>728</v>
      </c>
      <c r="G86" s="28">
        <v>9.27</v>
      </c>
      <c r="H86" s="28">
        <v>4.4000000000000004</v>
      </c>
      <c r="I86" s="28">
        <f t="shared" si="39"/>
        <v>13.67</v>
      </c>
      <c r="J86" s="28">
        <f t="shared" si="40"/>
        <v>6748.5599999999995</v>
      </c>
      <c r="K86" s="28">
        <f t="shared" si="41"/>
        <v>3203.2000000000003</v>
      </c>
      <c r="L86" s="28">
        <f t="shared" si="42"/>
        <v>9951.76</v>
      </c>
      <c r="M86" s="28">
        <f t="shared" si="43"/>
        <v>12725.32</v>
      </c>
      <c r="N86" s="1"/>
    </row>
    <row r="87" spans="1:14" ht="12.75" customHeight="1" x14ac:dyDescent="0.2">
      <c r="A87" s="23" t="s">
        <v>251</v>
      </c>
      <c r="B87" s="24" t="s">
        <v>252</v>
      </c>
      <c r="C87" s="23" t="s">
        <v>249</v>
      </c>
      <c r="D87" s="25" t="s">
        <v>250</v>
      </c>
      <c r="E87" s="26" t="s">
        <v>46</v>
      </c>
      <c r="F87" s="27">
        <v>310</v>
      </c>
      <c r="G87" s="28">
        <v>9.27</v>
      </c>
      <c r="H87" s="28">
        <v>4.4000000000000004</v>
      </c>
      <c r="I87" s="28">
        <f t="shared" si="39"/>
        <v>13.67</v>
      </c>
      <c r="J87" s="28">
        <f t="shared" si="40"/>
        <v>2873.7</v>
      </c>
      <c r="K87" s="28">
        <f t="shared" si="41"/>
        <v>1364</v>
      </c>
      <c r="L87" s="28">
        <f t="shared" si="42"/>
        <v>4237.7</v>
      </c>
      <c r="M87" s="28">
        <f t="shared" si="43"/>
        <v>5418.75</v>
      </c>
      <c r="N87" s="1"/>
    </row>
    <row r="88" spans="1:14" ht="12.75" customHeight="1" x14ac:dyDescent="0.2">
      <c r="A88" s="23" t="s">
        <v>253</v>
      </c>
      <c r="B88" s="24" t="s">
        <v>254</v>
      </c>
      <c r="C88" s="23" t="s">
        <v>255</v>
      </c>
      <c r="D88" s="25" t="s">
        <v>256</v>
      </c>
      <c r="E88" s="26" t="s">
        <v>46</v>
      </c>
      <c r="F88" s="27">
        <v>404</v>
      </c>
      <c r="G88" s="28">
        <v>1.91</v>
      </c>
      <c r="H88" s="28">
        <v>1.2</v>
      </c>
      <c r="I88" s="28">
        <f t="shared" si="39"/>
        <v>3.11</v>
      </c>
      <c r="J88" s="28">
        <f t="shared" si="40"/>
        <v>771.64</v>
      </c>
      <c r="K88" s="28">
        <f t="shared" si="41"/>
        <v>484.79999999999995</v>
      </c>
      <c r="L88" s="28">
        <f t="shared" si="42"/>
        <v>1256.44</v>
      </c>
      <c r="M88" s="28">
        <f t="shared" si="43"/>
        <v>1606.61</v>
      </c>
      <c r="N88" s="1"/>
    </row>
    <row r="89" spans="1:14" ht="12.75" customHeight="1" x14ac:dyDescent="0.2">
      <c r="A89" s="23" t="s">
        <v>257</v>
      </c>
      <c r="B89" s="24" t="s">
        <v>254</v>
      </c>
      <c r="C89" s="23" t="s">
        <v>258</v>
      </c>
      <c r="D89" s="25" t="s">
        <v>259</v>
      </c>
      <c r="E89" s="26" t="s">
        <v>46</v>
      </c>
      <c r="F89" s="27">
        <v>404</v>
      </c>
      <c r="G89" s="28">
        <v>9.84</v>
      </c>
      <c r="H89" s="28">
        <v>5.74</v>
      </c>
      <c r="I89" s="28">
        <f t="shared" si="39"/>
        <v>15.58</v>
      </c>
      <c r="J89" s="28">
        <f t="shared" si="40"/>
        <v>3975.36</v>
      </c>
      <c r="K89" s="28">
        <f t="shared" si="41"/>
        <v>2318.96</v>
      </c>
      <c r="L89" s="28">
        <f t="shared" si="42"/>
        <v>6294.32</v>
      </c>
      <c r="M89" s="28">
        <f t="shared" si="43"/>
        <v>8048.55</v>
      </c>
      <c r="N89" s="1"/>
    </row>
    <row r="90" spans="1:14" ht="12.75" customHeight="1" x14ac:dyDescent="0.2">
      <c r="A90" s="23"/>
      <c r="B90" s="24"/>
      <c r="C90" s="23"/>
      <c r="D90" s="25"/>
      <c r="E90" s="26"/>
      <c r="F90" s="27"/>
      <c r="G90" s="28"/>
      <c r="H90" s="28"/>
      <c r="I90" s="28"/>
      <c r="J90" s="28"/>
      <c r="K90" s="28"/>
      <c r="L90" s="28"/>
      <c r="M90" s="28"/>
      <c r="N90" s="1"/>
    </row>
    <row r="91" spans="1:14" ht="12.75" customHeight="1" x14ac:dyDescent="0.2">
      <c r="A91" s="29" t="s">
        <v>260</v>
      </c>
      <c r="B91" s="239" t="s">
        <v>261</v>
      </c>
      <c r="C91" s="240"/>
      <c r="D91" s="47"/>
      <c r="E91" s="48"/>
      <c r="F91" s="49"/>
      <c r="G91" s="33"/>
      <c r="H91" s="33"/>
      <c r="I91" s="33"/>
      <c r="J91" s="33">
        <f t="shared" ref="J91:M91" si="44">SUM(J92:J100)</f>
        <v>24383.520639999999</v>
      </c>
      <c r="K91" s="33">
        <f t="shared" si="44"/>
        <v>2846.7820000000002</v>
      </c>
      <c r="L91" s="33">
        <f t="shared" si="44"/>
        <v>27230.302639999998</v>
      </c>
      <c r="M91" s="33">
        <f t="shared" si="44"/>
        <v>34819.39</v>
      </c>
      <c r="N91" s="22">
        <f>M91</f>
        <v>34819.39</v>
      </c>
    </row>
    <row r="92" spans="1:14" ht="12.75" customHeight="1" x14ac:dyDescent="0.2">
      <c r="A92" s="23" t="s">
        <v>262</v>
      </c>
      <c r="B92" s="24" t="s">
        <v>263</v>
      </c>
      <c r="C92" s="23">
        <v>101159</v>
      </c>
      <c r="D92" s="25" t="s">
        <v>264</v>
      </c>
      <c r="E92" s="26" t="s">
        <v>46</v>
      </c>
      <c r="F92" s="27">
        <v>9</v>
      </c>
      <c r="G92" s="28">
        <v>78.62</v>
      </c>
      <c r="H92" s="28">
        <v>51</v>
      </c>
      <c r="I92" s="28">
        <f t="shared" ref="I92:I95" si="45">SUM(G92:H92)</f>
        <v>129.62</v>
      </c>
      <c r="J92" s="28">
        <f t="shared" ref="J92:J100" si="46">G92*F92</f>
        <v>707.58</v>
      </c>
      <c r="K92" s="28">
        <f t="shared" ref="K92:K100" si="47">H92*F92</f>
        <v>459</v>
      </c>
      <c r="L92" s="28">
        <f t="shared" ref="L92:L100" si="48">J92+K92</f>
        <v>1166.58</v>
      </c>
      <c r="M92" s="28">
        <f t="shared" ref="M92:M100" si="49">ROUND(L92*(1+$M$4),2)</f>
        <v>1491.71</v>
      </c>
      <c r="N92" s="1"/>
    </row>
    <row r="93" spans="1:14" ht="12.75" customHeight="1" x14ac:dyDescent="0.2">
      <c r="A93" s="23" t="s">
        <v>265</v>
      </c>
      <c r="B93" s="24" t="s">
        <v>266</v>
      </c>
      <c r="C93" s="23">
        <v>101159</v>
      </c>
      <c r="D93" s="25" t="s">
        <v>264</v>
      </c>
      <c r="E93" s="26" t="s">
        <v>46</v>
      </c>
      <c r="F93" s="27">
        <v>3</v>
      </c>
      <c r="G93" s="28">
        <v>78.62</v>
      </c>
      <c r="H93" s="28">
        <v>51</v>
      </c>
      <c r="I93" s="28">
        <f t="shared" si="45"/>
        <v>129.62</v>
      </c>
      <c r="J93" s="28">
        <f t="shared" si="46"/>
        <v>235.86</v>
      </c>
      <c r="K93" s="28">
        <f t="shared" si="47"/>
        <v>153</v>
      </c>
      <c r="L93" s="28">
        <f t="shared" si="48"/>
        <v>388.86</v>
      </c>
      <c r="M93" s="28">
        <f t="shared" si="49"/>
        <v>497.24</v>
      </c>
      <c r="N93" s="1"/>
    </row>
    <row r="94" spans="1:14" ht="12.75" customHeight="1" x14ac:dyDescent="0.2">
      <c r="A94" s="23" t="s">
        <v>267</v>
      </c>
      <c r="B94" s="24" t="s">
        <v>268</v>
      </c>
      <c r="C94" s="23">
        <v>87879</v>
      </c>
      <c r="D94" s="25" t="s">
        <v>269</v>
      </c>
      <c r="E94" s="26" t="s">
        <v>46</v>
      </c>
      <c r="F94" s="27">
        <v>26.5</v>
      </c>
      <c r="G94" s="28">
        <v>1.96</v>
      </c>
      <c r="H94" s="28">
        <v>1.68</v>
      </c>
      <c r="I94" s="28">
        <f t="shared" si="45"/>
        <v>3.6399999999999997</v>
      </c>
      <c r="J94" s="28">
        <f t="shared" si="46"/>
        <v>51.94</v>
      </c>
      <c r="K94" s="28">
        <f t="shared" si="47"/>
        <v>44.519999999999996</v>
      </c>
      <c r="L94" s="28">
        <f t="shared" si="48"/>
        <v>96.46</v>
      </c>
      <c r="M94" s="28">
        <f t="shared" si="49"/>
        <v>123.34</v>
      </c>
      <c r="N94" s="1"/>
    </row>
    <row r="95" spans="1:14" ht="12.75" customHeight="1" x14ac:dyDescent="0.2">
      <c r="A95" s="23" t="s">
        <v>270</v>
      </c>
      <c r="B95" s="24" t="s">
        <v>271</v>
      </c>
      <c r="C95" s="23">
        <v>87794</v>
      </c>
      <c r="D95" s="25" t="s">
        <v>272</v>
      </c>
      <c r="E95" s="26" t="s">
        <v>46</v>
      </c>
      <c r="F95" s="27">
        <v>26.5</v>
      </c>
      <c r="G95" s="28">
        <v>20.63</v>
      </c>
      <c r="H95" s="28">
        <v>17.14</v>
      </c>
      <c r="I95" s="28">
        <f t="shared" si="45"/>
        <v>37.769999999999996</v>
      </c>
      <c r="J95" s="28">
        <f t="shared" si="46"/>
        <v>546.69499999999994</v>
      </c>
      <c r="K95" s="28">
        <f t="shared" si="47"/>
        <v>454.21000000000004</v>
      </c>
      <c r="L95" s="28">
        <f t="shared" si="48"/>
        <v>1000.905</v>
      </c>
      <c r="M95" s="28">
        <f t="shared" si="49"/>
        <v>1279.8599999999999</v>
      </c>
      <c r="N95" s="1"/>
    </row>
    <row r="96" spans="1:14" ht="12.75" customHeight="1" x14ac:dyDescent="0.2">
      <c r="A96" s="23" t="s">
        <v>273</v>
      </c>
      <c r="B96" s="24" t="s">
        <v>274</v>
      </c>
      <c r="C96" s="23" t="s">
        <v>275</v>
      </c>
      <c r="D96" s="25" t="s">
        <v>276</v>
      </c>
      <c r="E96" s="26" t="s">
        <v>46</v>
      </c>
      <c r="F96" s="27">
        <v>26.5</v>
      </c>
      <c r="G96" s="28">
        <v>1.63</v>
      </c>
      <c r="H96" s="28">
        <v>0.54</v>
      </c>
      <c r="I96" s="28">
        <f t="shared" ref="I96:I98" si="50">G96+H96</f>
        <v>2.17</v>
      </c>
      <c r="J96" s="28">
        <f t="shared" si="46"/>
        <v>43.195</v>
      </c>
      <c r="K96" s="28">
        <f t="shared" si="47"/>
        <v>14.31</v>
      </c>
      <c r="L96" s="28">
        <f t="shared" si="48"/>
        <v>57.505000000000003</v>
      </c>
      <c r="M96" s="28">
        <f t="shared" si="49"/>
        <v>73.53</v>
      </c>
      <c r="N96" s="1"/>
    </row>
    <row r="97" spans="1:14" ht="12.75" customHeight="1" x14ac:dyDescent="0.2">
      <c r="A97" s="23" t="s">
        <v>277</v>
      </c>
      <c r="B97" s="24" t="s">
        <v>278</v>
      </c>
      <c r="C97" s="23" t="s">
        <v>249</v>
      </c>
      <c r="D97" s="25" t="s">
        <v>250</v>
      </c>
      <c r="E97" s="26" t="s">
        <v>46</v>
      </c>
      <c r="F97" s="27">
        <v>20.8</v>
      </c>
      <c r="G97" s="28">
        <v>9.27</v>
      </c>
      <c r="H97" s="28">
        <v>4.4000000000000004</v>
      </c>
      <c r="I97" s="28">
        <f t="shared" si="50"/>
        <v>13.67</v>
      </c>
      <c r="J97" s="28">
        <f t="shared" si="46"/>
        <v>192.816</v>
      </c>
      <c r="K97" s="28">
        <f t="shared" si="47"/>
        <v>91.52000000000001</v>
      </c>
      <c r="L97" s="28">
        <f t="shared" si="48"/>
        <v>284.33600000000001</v>
      </c>
      <c r="M97" s="28">
        <f t="shared" si="49"/>
        <v>363.58</v>
      </c>
      <c r="N97" s="1"/>
    </row>
    <row r="98" spans="1:14" ht="12.75" customHeight="1" x14ac:dyDescent="0.2">
      <c r="A98" s="23" t="s">
        <v>279</v>
      </c>
      <c r="B98" s="24" t="s">
        <v>280</v>
      </c>
      <c r="C98" s="23" t="s">
        <v>182</v>
      </c>
      <c r="D98" s="25" t="s">
        <v>183</v>
      </c>
      <c r="E98" s="26" t="s">
        <v>46</v>
      </c>
      <c r="F98" s="27">
        <v>5.2</v>
      </c>
      <c r="G98" s="28">
        <v>66.88</v>
      </c>
      <c r="H98" s="28">
        <v>8.02</v>
      </c>
      <c r="I98" s="28">
        <f t="shared" si="50"/>
        <v>74.899999999999991</v>
      </c>
      <c r="J98" s="28">
        <f t="shared" si="46"/>
        <v>347.77600000000001</v>
      </c>
      <c r="K98" s="28">
        <f t="shared" si="47"/>
        <v>41.704000000000001</v>
      </c>
      <c r="L98" s="28">
        <f t="shared" si="48"/>
        <v>389.48</v>
      </c>
      <c r="M98" s="28">
        <f t="shared" si="49"/>
        <v>498.03</v>
      </c>
      <c r="N98" s="1"/>
    </row>
    <row r="99" spans="1:14" ht="12.75" customHeight="1" x14ac:dyDescent="0.2">
      <c r="A99" s="23" t="s">
        <v>281</v>
      </c>
      <c r="B99" s="24" t="s">
        <v>282</v>
      </c>
      <c r="C99" s="40" t="s">
        <v>283</v>
      </c>
      <c r="D99" s="25" t="s">
        <v>284</v>
      </c>
      <c r="E99" s="26" t="s">
        <v>46</v>
      </c>
      <c r="F99" s="27">
        <v>25</v>
      </c>
      <c r="G99" s="28">
        <v>141.41</v>
      </c>
      <c r="H99" s="28">
        <v>23.43</v>
      </c>
      <c r="I99" s="28">
        <f>SUM(G99:H99)</f>
        <v>164.84</v>
      </c>
      <c r="J99" s="28">
        <f t="shared" si="46"/>
        <v>3535.25</v>
      </c>
      <c r="K99" s="28">
        <f t="shared" si="47"/>
        <v>585.75</v>
      </c>
      <c r="L99" s="28">
        <f t="shared" si="48"/>
        <v>4121</v>
      </c>
      <c r="M99" s="28">
        <f t="shared" si="49"/>
        <v>5269.52</v>
      </c>
      <c r="N99" s="1"/>
    </row>
    <row r="100" spans="1:14" ht="12.75" customHeight="1" x14ac:dyDescent="0.2">
      <c r="A100" s="23" t="s">
        <v>285</v>
      </c>
      <c r="B100" s="24" t="s">
        <v>286</v>
      </c>
      <c r="C100" s="23" t="s">
        <v>287</v>
      </c>
      <c r="D100" s="25" t="s">
        <v>288</v>
      </c>
      <c r="E100" s="26" t="s">
        <v>46</v>
      </c>
      <c r="F100" s="27">
        <v>31.2</v>
      </c>
      <c r="G100" s="28">
        <v>600.07719999999995</v>
      </c>
      <c r="H100" s="28">
        <v>32.14</v>
      </c>
      <c r="I100" s="28">
        <f>G100+H100</f>
        <v>632.21719999999993</v>
      </c>
      <c r="J100" s="28">
        <f t="shared" si="46"/>
        <v>18722.408639999998</v>
      </c>
      <c r="K100" s="28">
        <f t="shared" si="47"/>
        <v>1002.768</v>
      </c>
      <c r="L100" s="28">
        <f t="shared" si="48"/>
        <v>19725.176639999998</v>
      </c>
      <c r="M100" s="28">
        <f t="shared" si="49"/>
        <v>25222.58</v>
      </c>
      <c r="N100" s="1"/>
    </row>
    <row r="101" spans="1:14" ht="12.75" customHeight="1" x14ac:dyDescent="0.2">
      <c r="A101" s="41"/>
      <c r="B101" s="42"/>
      <c r="C101" s="43"/>
      <c r="D101" s="44"/>
      <c r="E101" s="45"/>
      <c r="F101" s="46"/>
      <c r="G101" s="46"/>
      <c r="H101" s="46"/>
      <c r="I101" s="46"/>
      <c r="J101" s="46"/>
      <c r="K101" s="46"/>
      <c r="L101" s="46"/>
      <c r="M101" s="46"/>
      <c r="N101" s="1"/>
    </row>
    <row r="102" spans="1:14" ht="12.75" customHeight="1" x14ac:dyDescent="0.2">
      <c r="A102" s="29" t="s">
        <v>289</v>
      </c>
      <c r="B102" s="239" t="s">
        <v>290</v>
      </c>
      <c r="C102" s="240"/>
      <c r="D102" s="47"/>
      <c r="E102" s="48"/>
      <c r="F102" s="49"/>
      <c r="G102" s="33"/>
      <c r="H102" s="33"/>
      <c r="I102" s="33"/>
      <c r="J102" s="33">
        <f t="shared" ref="J102:M102" si="51">SUM(J103:J154)</f>
        <v>95871.81</v>
      </c>
      <c r="K102" s="33">
        <f t="shared" si="51"/>
        <v>20201.610000000008</v>
      </c>
      <c r="L102" s="33">
        <f t="shared" si="51"/>
        <v>116073.41999999995</v>
      </c>
      <c r="M102" s="33">
        <f t="shared" si="51"/>
        <v>148423.06999999992</v>
      </c>
      <c r="N102" s="22">
        <f>M102</f>
        <v>148423.06999999992</v>
      </c>
    </row>
    <row r="103" spans="1:14" ht="12.75" customHeight="1" x14ac:dyDescent="0.2">
      <c r="A103" s="23" t="s">
        <v>291</v>
      </c>
      <c r="B103" s="24" t="s">
        <v>292</v>
      </c>
      <c r="C103" s="23" t="s">
        <v>293</v>
      </c>
      <c r="D103" s="25" t="s">
        <v>294</v>
      </c>
      <c r="E103" s="26" t="s">
        <v>171</v>
      </c>
      <c r="F103" s="27">
        <v>900</v>
      </c>
      <c r="G103" s="28">
        <v>2.0099999999999998</v>
      </c>
      <c r="H103" s="28">
        <v>0.78</v>
      </c>
      <c r="I103" s="28">
        <f t="shared" ref="I103:I154" si="52">G103+H103</f>
        <v>2.79</v>
      </c>
      <c r="J103" s="28">
        <f t="shared" ref="J103:J154" si="53">G103*F103</f>
        <v>1808.9999999999998</v>
      </c>
      <c r="K103" s="28">
        <f t="shared" ref="K103:K154" si="54">H103*F103</f>
        <v>702</v>
      </c>
      <c r="L103" s="28">
        <f t="shared" ref="L103:L154" si="55">J103+K103</f>
        <v>2511</v>
      </c>
      <c r="M103" s="28">
        <f t="shared" ref="M103:M154" si="56">ROUND(L103*(1+$M$4),2)</f>
        <v>3210.82</v>
      </c>
      <c r="N103" s="1"/>
    </row>
    <row r="104" spans="1:14" ht="12.75" customHeight="1" x14ac:dyDescent="0.2">
      <c r="A104" s="23" t="s">
        <v>295</v>
      </c>
      <c r="B104" s="24" t="s">
        <v>292</v>
      </c>
      <c r="C104" s="23" t="s">
        <v>296</v>
      </c>
      <c r="D104" s="25" t="s">
        <v>297</v>
      </c>
      <c r="E104" s="26" t="s">
        <v>171</v>
      </c>
      <c r="F104" s="27">
        <v>1950</v>
      </c>
      <c r="G104" s="28">
        <v>3.08</v>
      </c>
      <c r="H104" s="28">
        <v>0.96</v>
      </c>
      <c r="I104" s="28">
        <f t="shared" si="52"/>
        <v>4.04</v>
      </c>
      <c r="J104" s="28">
        <f t="shared" si="53"/>
        <v>6006</v>
      </c>
      <c r="K104" s="28">
        <f t="shared" si="54"/>
        <v>1872</v>
      </c>
      <c r="L104" s="28">
        <f t="shared" si="55"/>
        <v>7878</v>
      </c>
      <c r="M104" s="28">
        <f t="shared" si="56"/>
        <v>10073.6</v>
      </c>
      <c r="N104" s="1"/>
    </row>
    <row r="105" spans="1:14" ht="12.75" customHeight="1" x14ac:dyDescent="0.2">
      <c r="A105" s="23" t="s">
        <v>298</v>
      </c>
      <c r="B105" s="24" t="s">
        <v>292</v>
      </c>
      <c r="C105" s="23" t="s">
        <v>299</v>
      </c>
      <c r="D105" s="25" t="s">
        <v>300</v>
      </c>
      <c r="E105" s="26" t="s">
        <v>171</v>
      </c>
      <c r="F105" s="27">
        <v>720</v>
      </c>
      <c r="G105" s="28">
        <v>5.3</v>
      </c>
      <c r="H105" s="28">
        <v>1.27</v>
      </c>
      <c r="I105" s="28">
        <f t="shared" si="52"/>
        <v>6.57</v>
      </c>
      <c r="J105" s="28">
        <f t="shared" si="53"/>
        <v>3816</v>
      </c>
      <c r="K105" s="28">
        <f t="shared" si="54"/>
        <v>914.4</v>
      </c>
      <c r="L105" s="28">
        <f t="shared" si="55"/>
        <v>4730.3999999999996</v>
      </c>
      <c r="M105" s="28">
        <f t="shared" si="56"/>
        <v>6048.76</v>
      </c>
      <c r="N105" s="1"/>
    </row>
    <row r="106" spans="1:14" ht="12.75" customHeight="1" x14ac:dyDescent="0.2">
      <c r="A106" s="23" t="s">
        <v>301</v>
      </c>
      <c r="B106" s="24" t="s">
        <v>292</v>
      </c>
      <c r="C106" s="23" t="s">
        <v>302</v>
      </c>
      <c r="D106" s="25" t="s">
        <v>303</v>
      </c>
      <c r="E106" s="26" t="s">
        <v>171</v>
      </c>
      <c r="F106" s="27">
        <v>280</v>
      </c>
      <c r="G106" s="28">
        <v>7.32</v>
      </c>
      <c r="H106" s="28">
        <v>1.66</v>
      </c>
      <c r="I106" s="28">
        <f t="shared" si="52"/>
        <v>8.98</v>
      </c>
      <c r="J106" s="28">
        <f t="shared" si="53"/>
        <v>2049.6</v>
      </c>
      <c r="K106" s="28">
        <f t="shared" si="54"/>
        <v>464.79999999999995</v>
      </c>
      <c r="L106" s="28">
        <f t="shared" si="55"/>
        <v>2514.3999999999996</v>
      </c>
      <c r="M106" s="28">
        <f t="shared" si="56"/>
        <v>3215.16</v>
      </c>
      <c r="N106" s="1"/>
    </row>
    <row r="107" spans="1:14" ht="12.75" customHeight="1" x14ac:dyDescent="0.2">
      <c r="A107" s="23" t="s">
        <v>304</v>
      </c>
      <c r="B107" s="24" t="s">
        <v>292</v>
      </c>
      <c r="C107" s="23" t="s">
        <v>305</v>
      </c>
      <c r="D107" s="25" t="s">
        <v>306</v>
      </c>
      <c r="E107" s="26" t="s">
        <v>171</v>
      </c>
      <c r="F107" s="27">
        <v>270</v>
      </c>
      <c r="G107" s="28">
        <v>12.31</v>
      </c>
      <c r="H107" s="28">
        <v>2.48</v>
      </c>
      <c r="I107" s="28">
        <f t="shared" si="52"/>
        <v>14.790000000000001</v>
      </c>
      <c r="J107" s="28">
        <f t="shared" si="53"/>
        <v>3323.7000000000003</v>
      </c>
      <c r="K107" s="28">
        <f t="shared" si="54"/>
        <v>669.6</v>
      </c>
      <c r="L107" s="28">
        <f t="shared" si="55"/>
        <v>3993.3</v>
      </c>
      <c r="M107" s="28">
        <f t="shared" si="56"/>
        <v>5106.2299999999996</v>
      </c>
      <c r="N107" s="1"/>
    </row>
    <row r="108" spans="1:14" ht="12.75" customHeight="1" x14ac:dyDescent="0.2">
      <c r="A108" s="23" t="s">
        <v>307</v>
      </c>
      <c r="B108" s="24" t="s">
        <v>292</v>
      </c>
      <c r="C108" s="23" t="s">
        <v>308</v>
      </c>
      <c r="D108" s="25" t="s">
        <v>309</v>
      </c>
      <c r="E108" s="26" t="s">
        <v>171</v>
      </c>
      <c r="F108" s="27">
        <v>100</v>
      </c>
      <c r="G108" s="28">
        <v>18.89</v>
      </c>
      <c r="H108" s="28">
        <v>3.72</v>
      </c>
      <c r="I108" s="28">
        <f t="shared" si="52"/>
        <v>22.61</v>
      </c>
      <c r="J108" s="28">
        <f t="shared" si="53"/>
        <v>1889</v>
      </c>
      <c r="K108" s="28">
        <f t="shared" si="54"/>
        <v>372</v>
      </c>
      <c r="L108" s="28">
        <f t="shared" si="55"/>
        <v>2261</v>
      </c>
      <c r="M108" s="28">
        <f t="shared" si="56"/>
        <v>2891.14</v>
      </c>
      <c r="N108" s="1"/>
    </row>
    <row r="109" spans="1:14" ht="12.75" customHeight="1" x14ac:dyDescent="0.2">
      <c r="A109" s="23" t="s">
        <v>310</v>
      </c>
      <c r="B109" s="24" t="s">
        <v>292</v>
      </c>
      <c r="C109" s="23" t="s">
        <v>311</v>
      </c>
      <c r="D109" s="25" t="s">
        <v>312</v>
      </c>
      <c r="E109" s="26" t="s">
        <v>171</v>
      </c>
      <c r="F109" s="27">
        <v>120</v>
      </c>
      <c r="G109" s="28">
        <v>25.27</v>
      </c>
      <c r="H109" s="28">
        <v>1.95</v>
      </c>
      <c r="I109" s="28">
        <f t="shared" si="52"/>
        <v>27.22</v>
      </c>
      <c r="J109" s="28">
        <f t="shared" si="53"/>
        <v>3032.4</v>
      </c>
      <c r="K109" s="28">
        <f t="shared" si="54"/>
        <v>234</v>
      </c>
      <c r="L109" s="28">
        <f t="shared" si="55"/>
        <v>3266.4</v>
      </c>
      <c r="M109" s="28">
        <f t="shared" si="56"/>
        <v>4176.75</v>
      </c>
      <c r="N109" s="1"/>
    </row>
    <row r="110" spans="1:14" ht="12.75" customHeight="1" x14ac:dyDescent="0.2">
      <c r="A110" s="23" t="s">
        <v>313</v>
      </c>
      <c r="B110" s="24" t="s">
        <v>292</v>
      </c>
      <c r="C110" s="23" t="s">
        <v>314</v>
      </c>
      <c r="D110" s="25" t="s">
        <v>315</v>
      </c>
      <c r="E110" s="26" t="s">
        <v>171</v>
      </c>
      <c r="F110" s="27">
        <v>250</v>
      </c>
      <c r="G110" s="28">
        <v>34.619999999999997</v>
      </c>
      <c r="H110" s="28">
        <v>2.23</v>
      </c>
      <c r="I110" s="28">
        <f t="shared" si="52"/>
        <v>36.849999999999994</v>
      </c>
      <c r="J110" s="28">
        <f t="shared" si="53"/>
        <v>8655</v>
      </c>
      <c r="K110" s="28">
        <f t="shared" si="54"/>
        <v>557.5</v>
      </c>
      <c r="L110" s="28">
        <f t="shared" si="55"/>
        <v>9212.5</v>
      </c>
      <c r="M110" s="28">
        <f t="shared" si="56"/>
        <v>11780.02</v>
      </c>
      <c r="N110" s="1"/>
    </row>
    <row r="111" spans="1:14" ht="12.75" customHeight="1" x14ac:dyDescent="0.2">
      <c r="A111" s="23" t="s">
        <v>316</v>
      </c>
      <c r="B111" s="24" t="s">
        <v>292</v>
      </c>
      <c r="C111" s="23" t="s">
        <v>317</v>
      </c>
      <c r="D111" s="25" t="s">
        <v>318</v>
      </c>
      <c r="E111" s="26" t="s">
        <v>171</v>
      </c>
      <c r="F111" s="27">
        <v>10</v>
      </c>
      <c r="G111" s="28">
        <v>49.11</v>
      </c>
      <c r="H111" s="28">
        <v>2.67</v>
      </c>
      <c r="I111" s="28">
        <f t="shared" si="52"/>
        <v>51.78</v>
      </c>
      <c r="J111" s="28">
        <f t="shared" si="53"/>
        <v>491.1</v>
      </c>
      <c r="K111" s="28">
        <f t="shared" si="54"/>
        <v>26.7</v>
      </c>
      <c r="L111" s="28">
        <f t="shared" si="55"/>
        <v>517.80000000000007</v>
      </c>
      <c r="M111" s="28">
        <f t="shared" si="56"/>
        <v>662.11</v>
      </c>
      <c r="N111" s="1"/>
    </row>
    <row r="112" spans="1:14" ht="12.75" customHeight="1" x14ac:dyDescent="0.2">
      <c r="A112" s="23" t="s">
        <v>319</v>
      </c>
      <c r="B112" s="24" t="s">
        <v>292</v>
      </c>
      <c r="C112" s="23" t="s">
        <v>320</v>
      </c>
      <c r="D112" s="25" t="s">
        <v>321</v>
      </c>
      <c r="E112" s="26" t="s">
        <v>171</v>
      </c>
      <c r="F112" s="27">
        <v>125</v>
      </c>
      <c r="G112" s="28">
        <v>67.83</v>
      </c>
      <c r="H112" s="28">
        <v>3.23</v>
      </c>
      <c r="I112" s="28">
        <f t="shared" si="52"/>
        <v>71.06</v>
      </c>
      <c r="J112" s="28">
        <f t="shared" si="53"/>
        <v>8478.75</v>
      </c>
      <c r="K112" s="28">
        <f t="shared" si="54"/>
        <v>403.75</v>
      </c>
      <c r="L112" s="28">
        <f t="shared" si="55"/>
        <v>8882.5</v>
      </c>
      <c r="M112" s="28">
        <f t="shared" si="56"/>
        <v>11358.05</v>
      </c>
      <c r="N112" s="1"/>
    </row>
    <row r="113" spans="1:14" ht="12.75" customHeight="1" x14ac:dyDescent="0.2">
      <c r="A113" s="23" t="s">
        <v>322</v>
      </c>
      <c r="B113" s="24" t="s">
        <v>292</v>
      </c>
      <c r="C113" s="23" t="s">
        <v>323</v>
      </c>
      <c r="D113" s="25" t="s">
        <v>324</v>
      </c>
      <c r="E113" s="26" t="s">
        <v>171</v>
      </c>
      <c r="F113" s="27">
        <v>40</v>
      </c>
      <c r="G113" s="28">
        <v>89.93</v>
      </c>
      <c r="H113" s="28">
        <v>3.95</v>
      </c>
      <c r="I113" s="28">
        <f t="shared" si="52"/>
        <v>93.88000000000001</v>
      </c>
      <c r="J113" s="28">
        <f t="shared" si="53"/>
        <v>3597.2000000000003</v>
      </c>
      <c r="K113" s="28">
        <f t="shared" si="54"/>
        <v>158</v>
      </c>
      <c r="L113" s="28">
        <f t="shared" si="55"/>
        <v>3755.2000000000003</v>
      </c>
      <c r="M113" s="28">
        <f t="shared" si="56"/>
        <v>4801.7700000000004</v>
      </c>
      <c r="N113" s="1"/>
    </row>
    <row r="114" spans="1:14" ht="12.75" customHeight="1" x14ac:dyDescent="0.2">
      <c r="A114" s="23" t="s">
        <v>325</v>
      </c>
      <c r="B114" s="24" t="s">
        <v>326</v>
      </c>
      <c r="C114" s="23" t="s">
        <v>327</v>
      </c>
      <c r="D114" s="25" t="s">
        <v>328</v>
      </c>
      <c r="E114" s="26" t="s">
        <v>14</v>
      </c>
      <c r="F114" s="27">
        <v>5</v>
      </c>
      <c r="G114" s="28">
        <v>18.93</v>
      </c>
      <c r="H114" s="28">
        <v>9.64</v>
      </c>
      <c r="I114" s="28">
        <f t="shared" si="52"/>
        <v>28.57</v>
      </c>
      <c r="J114" s="28">
        <f t="shared" si="53"/>
        <v>94.65</v>
      </c>
      <c r="K114" s="28">
        <f t="shared" si="54"/>
        <v>48.2</v>
      </c>
      <c r="L114" s="28">
        <f t="shared" si="55"/>
        <v>142.85000000000002</v>
      </c>
      <c r="M114" s="28">
        <f t="shared" si="56"/>
        <v>182.66</v>
      </c>
      <c r="N114" s="1"/>
    </row>
    <row r="115" spans="1:14" ht="12.75" customHeight="1" x14ac:dyDescent="0.2">
      <c r="A115" s="23" t="s">
        <v>329</v>
      </c>
      <c r="B115" s="24" t="s">
        <v>330</v>
      </c>
      <c r="C115" s="23" t="s">
        <v>331</v>
      </c>
      <c r="D115" s="25" t="s">
        <v>332</v>
      </c>
      <c r="E115" s="26" t="s">
        <v>14</v>
      </c>
      <c r="F115" s="27">
        <v>15</v>
      </c>
      <c r="G115" s="28">
        <v>32.69</v>
      </c>
      <c r="H115" s="28">
        <v>17.64</v>
      </c>
      <c r="I115" s="28">
        <f t="shared" si="52"/>
        <v>50.33</v>
      </c>
      <c r="J115" s="28">
        <f t="shared" si="53"/>
        <v>490.34999999999997</v>
      </c>
      <c r="K115" s="28">
        <f t="shared" si="54"/>
        <v>264.60000000000002</v>
      </c>
      <c r="L115" s="28">
        <f t="shared" si="55"/>
        <v>754.95</v>
      </c>
      <c r="M115" s="28">
        <f t="shared" si="56"/>
        <v>965.35</v>
      </c>
      <c r="N115" s="1"/>
    </row>
    <row r="116" spans="1:14" ht="12.75" customHeight="1" x14ac:dyDescent="0.2">
      <c r="A116" s="23" t="s">
        <v>333</v>
      </c>
      <c r="B116" s="24" t="s">
        <v>334</v>
      </c>
      <c r="C116" s="23" t="s">
        <v>335</v>
      </c>
      <c r="D116" s="25" t="s">
        <v>336</v>
      </c>
      <c r="E116" s="26" t="s">
        <v>14</v>
      </c>
      <c r="F116" s="27">
        <v>1</v>
      </c>
      <c r="G116" s="28">
        <v>44.09</v>
      </c>
      <c r="H116" s="28">
        <v>22.98</v>
      </c>
      <c r="I116" s="28">
        <f t="shared" si="52"/>
        <v>67.070000000000007</v>
      </c>
      <c r="J116" s="28">
        <f t="shared" si="53"/>
        <v>44.09</v>
      </c>
      <c r="K116" s="28">
        <f t="shared" si="54"/>
        <v>22.98</v>
      </c>
      <c r="L116" s="28">
        <f t="shared" si="55"/>
        <v>67.070000000000007</v>
      </c>
      <c r="M116" s="28">
        <f t="shared" si="56"/>
        <v>85.76</v>
      </c>
      <c r="N116" s="1"/>
    </row>
    <row r="117" spans="1:14" ht="12.75" customHeight="1" x14ac:dyDescent="0.2">
      <c r="A117" s="23" t="s">
        <v>337</v>
      </c>
      <c r="B117" s="24" t="s">
        <v>338</v>
      </c>
      <c r="C117" s="23" t="s">
        <v>339</v>
      </c>
      <c r="D117" s="25" t="s">
        <v>340</v>
      </c>
      <c r="E117" s="26" t="s">
        <v>14</v>
      </c>
      <c r="F117" s="27">
        <v>64</v>
      </c>
      <c r="G117" s="28">
        <v>35.07</v>
      </c>
      <c r="H117" s="28">
        <v>20.32</v>
      </c>
      <c r="I117" s="28">
        <f t="shared" si="52"/>
        <v>55.39</v>
      </c>
      <c r="J117" s="28">
        <f t="shared" si="53"/>
        <v>2244.48</v>
      </c>
      <c r="K117" s="28">
        <f t="shared" si="54"/>
        <v>1300.48</v>
      </c>
      <c r="L117" s="28">
        <f t="shared" si="55"/>
        <v>3544.96</v>
      </c>
      <c r="M117" s="28">
        <f t="shared" si="56"/>
        <v>4532.9399999999996</v>
      </c>
      <c r="N117" s="1"/>
    </row>
    <row r="118" spans="1:14" ht="12.75" customHeight="1" x14ac:dyDescent="0.2">
      <c r="A118" s="23" t="s">
        <v>341</v>
      </c>
      <c r="B118" s="24" t="s">
        <v>342</v>
      </c>
      <c r="C118" s="23" t="s">
        <v>343</v>
      </c>
      <c r="D118" s="25" t="s">
        <v>344</v>
      </c>
      <c r="E118" s="26" t="s">
        <v>14</v>
      </c>
      <c r="F118" s="27">
        <v>34</v>
      </c>
      <c r="G118" s="28">
        <v>21.3</v>
      </c>
      <c r="H118" s="28">
        <v>12.33</v>
      </c>
      <c r="I118" s="28">
        <f t="shared" si="52"/>
        <v>33.630000000000003</v>
      </c>
      <c r="J118" s="28">
        <f t="shared" si="53"/>
        <v>724.2</v>
      </c>
      <c r="K118" s="28">
        <f t="shared" si="54"/>
        <v>419.22</v>
      </c>
      <c r="L118" s="28">
        <f t="shared" si="55"/>
        <v>1143.42</v>
      </c>
      <c r="M118" s="28">
        <f t="shared" si="56"/>
        <v>1462.09</v>
      </c>
      <c r="N118" s="1"/>
    </row>
    <row r="119" spans="1:14" ht="12.75" customHeight="1" x14ac:dyDescent="0.2">
      <c r="A119" s="23" t="s">
        <v>345</v>
      </c>
      <c r="B119" s="24" t="s">
        <v>346</v>
      </c>
      <c r="C119" s="23" t="s">
        <v>347</v>
      </c>
      <c r="D119" s="50" t="s">
        <v>348</v>
      </c>
      <c r="E119" s="26" t="s">
        <v>14</v>
      </c>
      <c r="F119" s="27">
        <v>12</v>
      </c>
      <c r="G119" s="28">
        <v>1091.69</v>
      </c>
      <c r="H119" s="28">
        <v>20</v>
      </c>
      <c r="I119" s="28">
        <f t="shared" si="52"/>
        <v>1111.69</v>
      </c>
      <c r="J119" s="28">
        <f t="shared" si="53"/>
        <v>13100.28</v>
      </c>
      <c r="K119" s="28">
        <f t="shared" si="54"/>
        <v>240</v>
      </c>
      <c r="L119" s="28">
        <f t="shared" si="55"/>
        <v>13340.28</v>
      </c>
      <c r="M119" s="28">
        <f t="shared" si="56"/>
        <v>17058.22</v>
      </c>
      <c r="N119" s="1"/>
    </row>
    <row r="120" spans="1:14" ht="12.75" customHeight="1" x14ac:dyDescent="0.2">
      <c r="A120" s="23" t="s">
        <v>349</v>
      </c>
      <c r="B120" s="24" t="s">
        <v>350</v>
      </c>
      <c r="C120" s="23" t="s">
        <v>351</v>
      </c>
      <c r="D120" s="25" t="s">
        <v>352</v>
      </c>
      <c r="E120" s="26" t="s">
        <v>14</v>
      </c>
      <c r="F120" s="27">
        <v>119</v>
      </c>
      <c r="G120" s="28">
        <v>15.13</v>
      </c>
      <c r="H120" s="28">
        <v>11.12</v>
      </c>
      <c r="I120" s="28">
        <f t="shared" si="52"/>
        <v>26.25</v>
      </c>
      <c r="J120" s="28">
        <f t="shared" si="53"/>
        <v>1800.47</v>
      </c>
      <c r="K120" s="28">
        <f t="shared" si="54"/>
        <v>1323.28</v>
      </c>
      <c r="L120" s="28">
        <f t="shared" si="55"/>
        <v>3123.75</v>
      </c>
      <c r="M120" s="28">
        <f t="shared" si="56"/>
        <v>3994.34</v>
      </c>
      <c r="N120" s="1"/>
    </row>
    <row r="121" spans="1:14" ht="12.75" customHeight="1" x14ac:dyDescent="0.2">
      <c r="A121" s="23" t="s">
        <v>353</v>
      </c>
      <c r="B121" s="24" t="s">
        <v>354</v>
      </c>
      <c r="C121" s="23" t="s">
        <v>351</v>
      </c>
      <c r="D121" s="25" t="s">
        <v>352</v>
      </c>
      <c r="E121" s="26" t="s">
        <v>14</v>
      </c>
      <c r="F121" s="27">
        <v>14</v>
      </c>
      <c r="G121" s="28">
        <v>15.13</v>
      </c>
      <c r="H121" s="28">
        <v>11.12</v>
      </c>
      <c r="I121" s="28">
        <f t="shared" si="52"/>
        <v>26.25</v>
      </c>
      <c r="J121" s="28">
        <f t="shared" si="53"/>
        <v>211.82000000000002</v>
      </c>
      <c r="K121" s="28">
        <f t="shared" si="54"/>
        <v>155.67999999999998</v>
      </c>
      <c r="L121" s="28">
        <f t="shared" si="55"/>
        <v>367.5</v>
      </c>
      <c r="M121" s="28">
        <f t="shared" si="56"/>
        <v>469.92</v>
      </c>
      <c r="N121" s="1"/>
    </row>
    <row r="122" spans="1:14" ht="12.75" customHeight="1" x14ac:dyDescent="0.2">
      <c r="A122" s="23" t="s">
        <v>355</v>
      </c>
      <c r="B122" s="24" t="s">
        <v>356</v>
      </c>
      <c r="C122" s="23" t="s">
        <v>357</v>
      </c>
      <c r="D122" s="25" t="s">
        <v>358</v>
      </c>
      <c r="E122" s="26" t="s">
        <v>14</v>
      </c>
      <c r="F122" s="27">
        <v>20</v>
      </c>
      <c r="G122" s="28">
        <v>35.409999999999997</v>
      </c>
      <c r="H122" s="28">
        <v>11.2</v>
      </c>
      <c r="I122" s="28">
        <f t="shared" si="52"/>
        <v>46.61</v>
      </c>
      <c r="J122" s="28">
        <f t="shared" si="53"/>
        <v>708.19999999999993</v>
      </c>
      <c r="K122" s="28">
        <f t="shared" si="54"/>
        <v>224</v>
      </c>
      <c r="L122" s="28">
        <f t="shared" si="55"/>
        <v>932.19999999999993</v>
      </c>
      <c r="M122" s="28">
        <f t="shared" si="56"/>
        <v>1192</v>
      </c>
      <c r="N122" s="1"/>
    </row>
    <row r="123" spans="1:14" ht="12.75" customHeight="1" x14ac:dyDescent="0.2">
      <c r="A123" s="23" t="s">
        <v>359</v>
      </c>
      <c r="B123" s="24" t="s">
        <v>360</v>
      </c>
      <c r="C123" s="23" t="s">
        <v>361</v>
      </c>
      <c r="D123" s="25" t="s">
        <v>362</v>
      </c>
      <c r="E123" s="26" t="s">
        <v>14</v>
      </c>
      <c r="F123" s="27">
        <v>45</v>
      </c>
      <c r="G123" s="28">
        <v>78.86</v>
      </c>
      <c r="H123" s="28">
        <v>16.600000000000001</v>
      </c>
      <c r="I123" s="28">
        <f t="shared" si="52"/>
        <v>95.460000000000008</v>
      </c>
      <c r="J123" s="28">
        <f t="shared" si="53"/>
        <v>3548.7</v>
      </c>
      <c r="K123" s="28">
        <f t="shared" si="54"/>
        <v>747.00000000000011</v>
      </c>
      <c r="L123" s="28">
        <f t="shared" si="55"/>
        <v>4295.7</v>
      </c>
      <c r="M123" s="28">
        <f t="shared" si="56"/>
        <v>5492.91</v>
      </c>
      <c r="N123" s="1"/>
    </row>
    <row r="124" spans="1:14" ht="12.75" customHeight="1" x14ac:dyDescent="0.2">
      <c r="A124" s="23" t="s">
        <v>363</v>
      </c>
      <c r="B124" s="24" t="s">
        <v>364</v>
      </c>
      <c r="C124" s="23" t="s">
        <v>365</v>
      </c>
      <c r="D124" s="25" t="s">
        <v>366</v>
      </c>
      <c r="E124" s="26" t="s">
        <v>171</v>
      </c>
      <c r="F124" s="27">
        <v>60</v>
      </c>
      <c r="G124" s="28">
        <v>14.62</v>
      </c>
      <c r="H124" s="28">
        <v>3.32</v>
      </c>
      <c r="I124" s="28">
        <f t="shared" si="52"/>
        <v>17.939999999999998</v>
      </c>
      <c r="J124" s="28">
        <f t="shared" si="53"/>
        <v>877.19999999999993</v>
      </c>
      <c r="K124" s="28">
        <f t="shared" si="54"/>
        <v>199.2</v>
      </c>
      <c r="L124" s="28">
        <f t="shared" si="55"/>
        <v>1076.3999999999999</v>
      </c>
      <c r="M124" s="28">
        <f t="shared" si="56"/>
        <v>1376.39</v>
      </c>
      <c r="N124" s="1"/>
    </row>
    <row r="125" spans="1:14" ht="12.75" customHeight="1" x14ac:dyDescent="0.2">
      <c r="A125" s="23" t="s">
        <v>367</v>
      </c>
      <c r="B125" s="24" t="s">
        <v>368</v>
      </c>
      <c r="C125" s="23" t="s">
        <v>369</v>
      </c>
      <c r="D125" s="25" t="s">
        <v>370</v>
      </c>
      <c r="E125" s="26" t="s">
        <v>81</v>
      </c>
      <c r="F125" s="27">
        <v>75</v>
      </c>
      <c r="G125" s="28">
        <v>21.2</v>
      </c>
      <c r="H125" s="28">
        <v>8.1199999999999992</v>
      </c>
      <c r="I125" s="28">
        <f t="shared" si="52"/>
        <v>29.32</v>
      </c>
      <c r="J125" s="28">
        <f t="shared" si="53"/>
        <v>1590</v>
      </c>
      <c r="K125" s="28">
        <f t="shared" si="54"/>
        <v>608.99999999999989</v>
      </c>
      <c r="L125" s="28">
        <f t="shared" si="55"/>
        <v>2199</v>
      </c>
      <c r="M125" s="28">
        <f t="shared" si="56"/>
        <v>2811.86</v>
      </c>
      <c r="N125" s="1"/>
    </row>
    <row r="126" spans="1:14" ht="12.75" customHeight="1" x14ac:dyDescent="0.2">
      <c r="A126" s="23" t="s">
        <v>371</v>
      </c>
      <c r="B126" s="24" t="s">
        <v>372</v>
      </c>
      <c r="C126" s="23" t="s">
        <v>373</v>
      </c>
      <c r="D126" s="25" t="s">
        <v>374</v>
      </c>
      <c r="E126" s="26" t="s">
        <v>14</v>
      </c>
      <c r="F126" s="27">
        <v>12</v>
      </c>
      <c r="G126" s="28">
        <v>83.55</v>
      </c>
      <c r="H126" s="28">
        <v>5.94</v>
      </c>
      <c r="I126" s="28">
        <f t="shared" si="52"/>
        <v>89.49</v>
      </c>
      <c r="J126" s="28">
        <f t="shared" si="53"/>
        <v>1002.5999999999999</v>
      </c>
      <c r="K126" s="28">
        <f t="shared" si="54"/>
        <v>71.28</v>
      </c>
      <c r="L126" s="28">
        <f t="shared" si="55"/>
        <v>1073.8799999999999</v>
      </c>
      <c r="M126" s="28">
        <f t="shared" si="56"/>
        <v>1373.17</v>
      </c>
      <c r="N126" s="1"/>
    </row>
    <row r="127" spans="1:14" ht="12.75" customHeight="1" x14ac:dyDescent="0.2">
      <c r="A127" s="23" t="s">
        <v>375</v>
      </c>
      <c r="B127" s="24" t="s">
        <v>376</v>
      </c>
      <c r="C127" s="23" t="s">
        <v>377</v>
      </c>
      <c r="D127" s="25" t="s">
        <v>378</v>
      </c>
      <c r="E127" s="26" t="s">
        <v>14</v>
      </c>
      <c r="F127" s="27">
        <v>20</v>
      </c>
      <c r="G127" s="28">
        <v>23.94</v>
      </c>
      <c r="H127" s="28">
        <v>5.5</v>
      </c>
      <c r="I127" s="28">
        <f t="shared" si="52"/>
        <v>29.44</v>
      </c>
      <c r="J127" s="28">
        <f t="shared" si="53"/>
        <v>478.8</v>
      </c>
      <c r="K127" s="28">
        <f t="shared" si="54"/>
        <v>110</v>
      </c>
      <c r="L127" s="28">
        <f t="shared" si="55"/>
        <v>588.79999999999995</v>
      </c>
      <c r="M127" s="28">
        <f t="shared" si="56"/>
        <v>752.9</v>
      </c>
      <c r="N127" s="1"/>
    </row>
    <row r="128" spans="1:14" ht="12.75" customHeight="1" x14ac:dyDescent="0.2">
      <c r="A128" s="23" t="s">
        <v>379</v>
      </c>
      <c r="B128" s="24" t="s">
        <v>380</v>
      </c>
      <c r="C128" s="23" t="s">
        <v>381</v>
      </c>
      <c r="D128" s="25" t="s">
        <v>382</v>
      </c>
      <c r="E128" s="26" t="s">
        <v>171</v>
      </c>
      <c r="F128" s="27">
        <v>70</v>
      </c>
      <c r="G128" s="28">
        <v>5.95</v>
      </c>
      <c r="H128" s="28">
        <v>3.71</v>
      </c>
      <c r="I128" s="28">
        <f t="shared" si="52"/>
        <v>9.66</v>
      </c>
      <c r="J128" s="28">
        <f t="shared" si="53"/>
        <v>416.5</v>
      </c>
      <c r="K128" s="28">
        <f t="shared" si="54"/>
        <v>259.7</v>
      </c>
      <c r="L128" s="28">
        <f t="shared" si="55"/>
        <v>676.2</v>
      </c>
      <c r="M128" s="28">
        <f t="shared" si="56"/>
        <v>864.66</v>
      </c>
      <c r="N128" s="1"/>
    </row>
    <row r="129" spans="1:14" ht="12.75" customHeight="1" x14ac:dyDescent="0.2">
      <c r="A129" s="23" t="s">
        <v>383</v>
      </c>
      <c r="B129" s="24" t="s">
        <v>384</v>
      </c>
      <c r="C129" s="23">
        <v>97667</v>
      </c>
      <c r="D129" s="25" t="s">
        <v>385</v>
      </c>
      <c r="E129" s="26" t="s">
        <v>171</v>
      </c>
      <c r="F129" s="27">
        <v>70</v>
      </c>
      <c r="G129" s="28">
        <v>5.24</v>
      </c>
      <c r="H129" s="28">
        <v>2.17</v>
      </c>
      <c r="I129" s="28">
        <f t="shared" si="52"/>
        <v>7.41</v>
      </c>
      <c r="J129" s="28">
        <f t="shared" si="53"/>
        <v>366.8</v>
      </c>
      <c r="K129" s="28">
        <f t="shared" si="54"/>
        <v>151.9</v>
      </c>
      <c r="L129" s="28">
        <f t="shared" si="55"/>
        <v>518.70000000000005</v>
      </c>
      <c r="M129" s="28">
        <f t="shared" si="56"/>
        <v>663.26</v>
      </c>
      <c r="N129" s="1"/>
    </row>
    <row r="130" spans="1:14" ht="12.75" customHeight="1" x14ac:dyDescent="0.2">
      <c r="A130" s="23" t="s">
        <v>386</v>
      </c>
      <c r="B130" s="24" t="s">
        <v>387</v>
      </c>
      <c r="C130" s="23" t="s">
        <v>388</v>
      </c>
      <c r="D130" s="25" t="s">
        <v>389</v>
      </c>
      <c r="E130" s="26" t="s">
        <v>171</v>
      </c>
      <c r="F130" s="27">
        <v>520</v>
      </c>
      <c r="G130" s="28">
        <v>18.86</v>
      </c>
      <c r="H130" s="28">
        <v>9.7100000000000009</v>
      </c>
      <c r="I130" s="28">
        <f t="shared" si="52"/>
        <v>28.57</v>
      </c>
      <c r="J130" s="28">
        <f t="shared" si="53"/>
        <v>9807.1999999999989</v>
      </c>
      <c r="K130" s="28">
        <f t="shared" si="54"/>
        <v>5049.2000000000007</v>
      </c>
      <c r="L130" s="28">
        <f t="shared" si="55"/>
        <v>14856.4</v>
      </c>
      <c r="M130" s="28">
        <f t="shared" si="56"/>
        <v>18996.88</v>
      </c>
      <c r="N130" s="1"/>
    </row>
    <row r="131" spans="1:14" ht="12.75" customHeight="1" x14ac:dyDescent="0.2">
      <c r="A131" s="23" t="s">
        <v>390</v>
      </c>
      <c r="B131" s="24" t="s">
        <v>391</v>
      </c>
      <c r="C131" s="23" t="s">
        <v>392</v>
      </c>
      <c r="D131" s="25" t="s">
        <v>393</v>
      </c>
      <c r="E131" s="26" t="s">
        <v>171</v>
      </c>
      <c r="F131" s="27">
        <v>60</v>
      </c>
      <c r="G131" s="28">
        <v>21.46</v>
      </c>
      <c r="H131" s="28">
        <v>6.25</v>
      </c>
      <c r="I131" s="28">
        <f t="shared" si="52"/>
        <v>27.71</v>
      </c>
      <c r="J131" s="28">
        <f t="shared" si="53"/>
        <v>1287.6000000000001</v>
      </c>
      <c r="K131" s="28">
        <f t="shared" si="54"/>
        <v>375</v>
      </c>
      <c r="L131" s="28">
        <f t="shared" si="55"/>
        <v>1662.6000000000001</v>
      </c>
      <c r="M131" s="28">
        <f t="shared" si="56"/>
        <v>2125.9699999999998</v>
      </c>
      <c r="N131" s="1"/>
    </row>
    <row r="132" spans="1:14" ht="12.75" customHeight="1" x14ac:dyDescent="0.2">
      <c r="A132" s="23" t="s">
        <v>394</v>
      </c>
      <c r="B132" s="24" t="s">
        <v>395</v>
      </c>
      <c r="C132" s="23" t="s">
        <v>396</v>
      </c>
      <c r="D132" s="25" t="s">
        <v>397</v>
      </c>
      <c r="E132" s="26" t="s">
        <v>171</v>
      </c>
      <c r="F132" s="27">
        <v>18</v>
      </c>
      <c r="G132" s="28">
        <v>42.13</v>
      </c>
      <c r="H132" s="28">
        <v>13.42</v>
      </c>
      <c r="I132" s="28">
        <f t="shared" si="52"/>
        <v>55.550000000000004</v>
      </c>
      <c r="J132" s="28">
        <f t="shared" si="53"/>
        <v>758.34</v>
      </c>
      <c r="K132" s="28">
        <f t="shared" si="54"/>
        <v>241.56</v>
      </c>
      <c r="L132" s="28">
        <f t="shared" si="55"/>
        <v>999.90000000000009</v>
      </c>
      <c r="M132" s="28">
        <f t="shared" si="56"/>
        <v>1278.57</v>
      </c>
      <c r="N132" s="1"/>
    </row>
    <row r="133" spans="1:14" ht="12.75" customHeight="1" x14ac:dyDescent="0.2">
      <c r="A133" s="23" t="s">
        <v>398</v>
      </c>
      <c r="B133" s="24" t="s">
        <v>399</v>
      </c>
      <c r="C133" s="23" t="s">
        <v>400</v>
      </c>
      <c r="D133" s="25" t="s">
        <v>401</v>
      </c>
      <c r="E133" s="26" t="s">
        <v>14</v>
      </c>
      <c r="F133" s="27">
        <v>100</v>
      </c>
      <c r="G133" s="28">
        <v>24.38</v>
      </c>
      <c r="H133" s="28">
        <v>13.16</v>
      </c>
      <c r="I133" s="28">
        <f t="shared" si="52"/>
        <v>37.54</v>
      </c>
      <c r="J133" s="28">
        <f t="shared" si="53"/>
        <v>2438</v>
      </c>
      <c r="K133" s="28">
        <f t="shared" si="54"/>
        <v>1316</v>
      </c>
      <c r="L133" s="28">
        <f t="shared" si="55"/>
        <v>3754</v>
      </c>
      <c r="M133" s="28">
        <f t="shared" si="56"/>
        <v>4800.24</v>
      </c>
      <c r="N133" s="1"/>
    </row>
    <row r="134" spans="1:14" ht="12.75" customHeight="1" x14ac:dyDescent="0.2">
      <c r="A134" s="23" t="s">
        <v>402</v>
      </c>
      <c r="B134" s="24" t="s">
        <v>403</v>
      </c>
      <c r="C134" s="23" t="s">
        <v>404</v>
      </c>
      <c r="D134" s="25" t="s">
        <v>405</v>
      </c>
      <c r="E134" s="26" t="s">
        <v>14</v>
      </c>
      <c r="F134" s="27">
        <v>7</v>
      </c>
      <c r="G134" s="28">
        <v>164.05</v>
      </c>
      <c r="H134" s="28">
        <f>10.83</f>
        <v>10.83</v>
      </c>
      <c r="I134" s="28">
        <f t="shared" si="52"/>
        <v>174.88000000000002</v>
      </c>
      <c r="J134" s="28">
        <f t="shared" si="53"/>
        <v>1148.3500000000001</v>
      </c>
      <c r="K134" s="28">
        <f t="shared" si="54"/>
        <v>75.81</v>
      </c>
      <c r="L134" s="28">
        <f t="shared" si="55"/>
        <v>1224.1600000000001</v>
      </c>
      <c r="M134" s="28">
        <f t="shared" si="56"/>
        <v>1565.33</v>
      </c>
      <c r="N134" s="1"/>
    </row>
    <row r="135" spans="1:14" ht="12.75" customHeight="1" x14ac:dyDescent="0.2">
      <c r="A135" s="23" t="s">
        <v>406</v>
      </c>
      <c r="B135" s="24" t="s">
        <v>407</v>
      </c>
      <c r="C135" s="23" t="s">
        <v>408</v>
      </c>
      <c r="D135" s="25" t="s">
        <v>409</v>
      </c>
      <c r="E135" s="26" t="s">
        <v>14</v>
      </c>
      <c r="F135" s="27">
        <v>6</v>
      </c>
      <c r="G135" s="28">
        <v>173.7</v>
      </c>
      <c r="H135" s="28">
        <v>22.14</v>
      </c>
      <c r="I135" s="28">
        <f t="shared" si="52"/>
        <v>195.83999999999997</v>
      </c>
      <c r="J135" s="28">
        <f t="shared" si="53"/>
        <v>1042.1999999999998</v>
      </c>
      <c r="K135" s="28">
        <f t="shared" si="54"/>
        <v>132.84</v>
      </c>
      <c r="L135" s="28">
        <f t="shared" si="55"/>
        <v>1175.0399999999997</v>
      </c>
      <c r="M135" s="28">
        <f t="shared" si="56"/>
        <v>1502.52</v>
      </c>
      <c r="N135" s="1"/>
    </row>
    <row r="136" spans="1:14" ht="12.75" customHeight="1" x14ac:dyDescent="0.2">
      <c r="A136" s="23" t="s">
        <v>410</v>
      </c>
      <c r="B136" s="24" t="s">
        <v>411</v>
      </c>
      <c r="C136" s="23" t="s">
        <v>412</v>
      </c>
      <c r="D136" s="25" t="s">
        <v>413</v>
      </c>
      <c r="E136" s="26" t="s">
        <v>171</v>
      </c>
      <c r="F136" s="27">
        <v>3</v>
      </c>
      <c r="G136" s="28">
        <v>241.72</v>
      </c>
      <c r="H136" s="28">
        <v>13.4</v>
      </c>
      <c r="I136" s="28">
        <f t="shared" si="52"/>
        <v>255.12</v>
      </c>
      <c r="J136" s="28">
        <f t="shared" si="53"/>
        <v>725.16</v>
      </c>
      <c r="K136" s="28">
        <f t="shared" si="54"/>
        <v>40.200000000000003</v>
      </c>
      <c r="L136" s="28">
        <f t="shared" si="55"/>
        <v>765.36</v>
      </c>
      <c r="M136" s="28">
        <f t="shared" si="56"/>
        <v>978.67</v>
      </c>
      <c r="N136" s="1"/>
    </row>
    <row r="137" spans="1:14" ht="12.75" customHeight="1" x14ac:dyDescent="0.2">
      <c r="A137" s="23" t="s">
        <v>414</v>
      </c>
      <c r="B137" s="24" t="s">
        <v>415</v>
      </c>
      <c r="C137" s="23" t="s">
        <v>416</v>
      </c>
      <c r="D137" s="25" t="s">
        <v>417</v>
      </c>
      <c r="E137" s="26" t="s">
        <v>14</v>
      </c>
      <c r="F137" s="27">
        <v>8</v>
      </c>
      <c r="G137" s="28">
        <v>12.12</v>
      </c>
      <c r="H137" s="28">
        <v>1.1100000000000001</v>
      </c>
      <c r="I137" s="28">
        <f t="shared" si="52"/>
        <v>13.229999999999999</v>
      </c>
      <c r="J137" s="28">
        <f t="shared" si="53"/>
        <v>96.96</v>
      </c>
      <c r="K137" s="28">
        <f t="shared" si="54"/>
        <v>8.8800000000000008</v>
      </c>
      <c r="L137" s="28">
        <f t="shared" si="55"/>
        <v>105.83999999999999</v>
      </c>
      <c r="M137" s="28">
        <f t="shared" si="56"/>
        <v>135.34</v>
      </c>
      <c r="N137" s="1"/>
    </row>
    <row r="138" spans="1:14" ht="12.75" customHeight="1" x14ac:dyDescent="0.2">
      <c r="A138" s="23" t="s">
        <v>418</v>
      </c>
      <c r="B138" s="24" t="s">
        <v>419</v>
      </c>
      <c r="C138" s="23" t="s">
        <v>420</v>
      </c>
      <c r="D138" s="25" t="s">
        <v>421</v>
      </c>
      <c r="E138" s="26" t="s">
        <v>14</v>
      </c>
      <c r="F138" s="27">
        <v>11</v>
      </c>
      <c r="G138" s="28">
        <v>12.29</v>
      </c>
      <c r="H138" s="28">
        <v>1.51</v>
      </c>
      <c r="I138" s="28">
        <f t="shared" si="52"/>
        <v>13.799999999999999</v>
      </c>
      <c r="J138" s="28">
        <f t="shared" si="53"/>
        <v>135.19</v>
      </c>
      <c r="K138" s="28">
        <f t="shared" si="54"/>
        <v>16.61</v>
      </c>
      <c r="L138" s="28">
        <f t="shared" si="55"/>
        <v>151.80000000000001</v>
      </c>
      <c r="M138" s="28">
        <f t="shared" si="56"/>
        <v>194.11</v>
      </c>
      <c r="N138" s="1"/>
    </row>
    <row r="139" spans="1:14" ht="12.75" customHeight="1" x14ac:dyDescent="0.2">
      <c r="A139" s="23" t="s">
        <v>422</v>
      </c>
      <c r="B139" s="24" t="s">
        <v>423</v>
      </c>
      <c r="C139" s="23" t="s">
        <v>424</v>
      </c>
      <c r="D139" s="25" t="s">
        <v>425</v>
      </c>
      <c r="E139" s="26" t="s">
        <v>14</v>
      </c>
      <c r="F139" s="27">
        <v>1</v>
      </c>
      <c r="G139" s="28">
        <v>12.8</v>
      </c>
      <c r="H139" s="28">
        <v>2.13</v>
      </c>
      <c r="I139" s="28">
        <f t="shared" si="52"/>
        <v>14.93</v>
      </c>
      <c r="J139" s="28">
        <f t="shared" si="53"/>
        <v>12.8</v>
      </c>
      <c r="K139" s="28">
        <f t="shared" si="54"/>
        <v>2.13</v>
      </c>
      <c r="L139" s="28">
        <f t="shared" si="55"/>
        <v>14.93</v>
      </c>
      <c r="M139" s="28">
        <f t="shared" si="56"/>
        <v>19.09</v>
      </c>
      <c r="N139" s="1"/>
    </row>
    <row r="140" spans="1:14" ht="12.75" customHeight="1" x14ac:dyDescent="0.2">
      <c r="A140" s="23" t="s">
        <v>426</v>
      </c>
      <c r="B140" s="24" t="s">
        <v>427</v>
      </c>
      <c r="C140" s="23" t="s">
        <v>428</v>
      </c>
      <c r="D140" s="25" t="s">
        <v>429</v>
      </c>
      <c r="E140" s="26" t="s">
        <v>14</v>
      </c>
      <c r="F140" s="27">
        <v>3</v>
      </c>
      <c r="G140" s="28">
        <v>66.52</v>
      </c>
      <c r="H140" s="28">
        <v>0</v>
      </c>
      <c r="I140" s="28">
        <f t="shared" si="52"/>
        <v>66.52</v>
      </c>
      <c r="J140" s="28">
        <f t="shared" si="53"/>
        <v>199.56</v>
      </c>
      <c r="K140" s="28">
        <f t="shared" si="54"/>
        <v>0</v>
      </c>
      <c r="L140" s="28">
        <f t="shared" si="55"/>
        <v>199.56</v>
      </c>
      <c r="M140" s="28">
        <f t="shared" si="56"/>
        <v>255.18</v>
      </c>
      <c r="N140" s="1"/>
    </row>
    <row r="141" spans="1:14" ht="12.75" customHeight="1" x14ac:dyDescent="0.2">
      <c r="A141" s="23" t="s">
        <v>430</v>
      </c>
      <c r="B141" s="24" t="s">
        <v>431</v>
      </c>
      <c r="C141" s="23" t="s">
        <v>432</v>
      </c>
      <c r="D141" s="25" t="s">
        <v>433</v>
      </c>
      <c r="E141" s="26" t="s">
        <v>14</v>
      </c>
      <c r="F141" s="27">
        <v>4</v>
      </c>
      <c r="G141" s="28">
        <v>65.66</v>
      </c>
      <c r="H141" s="28">
        <v>4.2699999999999996</v>
      </c>
      <c r="I141" s="28">
        <f t="shared" si="52"/>
        <v>69.929999999999993</v>
      </c>
      <c r="J141" s="28">
        <f t="shared" si="53"/>
        <v>262.64</v>
      </c>
      <c r="K141" s="28">
        <f t="shared" si="54"/>
        <v>17.079999999999998</v>
      </c>
      <c r="L141" s="28">
        <f t="shared" si="55"/>
        <v>279.71999999999997</v>
      </c>
      <c r="M141" s="28">
        <f t="shared" si="56"/>
        <v>357.68</v>
      </c>
      <c r="N141" s="1"/>
    </row>
    <row r="142" spans="1:14" ht="12.75" customHeight="1" x14ac:dyDescent="0.2">
      <c r="A142" s="23" t="s">
        <v>434</v>
      </c>
      <c r="B142" s="24" t="s">
        <v>435</v>
      </c>
      <c r="C142" s="23" t="s">
        <v>432</v>
      </c>
      <c r="D142" s="25" t="s">
        <v>436</v>
      </c>
      <c r="E142" s="26" t="s">
        <v>14</v>
      </c>
      <c r="F142" s="27">
        <v>11</v>
      </c>
      <c r="G142" s="28">
        <v>65.66</v>
      </c>
      <c r="H142" s="28">
        <v>4.2699999999999996</v>
      </c>
      <c r="I142" s="28">
        <f t="shared" si="52"/>
        <v>69.929999999999993</v>
      </c>
      <c r="J142" s="28">
        <f t="shared" si="53"/>
        <v>722.26</v>
      </c>
      <c r="K142" s="28">
        <f t="shared" si="54"/>
        <v>46.97</v>
      </c>
      <c r="L142" s="28">
        <f t="shared" si="55"/>
        <v>769.23</v>
      </c>
      <c r="M142" s="28">
        <f t="shared" si="56"/>
        <v>983.61</v>
      </c>
      <c r="N142" s="1"/>
    </row>
    <row r="143" spans="1:14" ht="12.75" customHeight="1" x14ac:dyDescent="0.2">
      <c r="A143" s="23" t="s">
        <v>437</v>
      </c>
      <c r="B143" s="24" t="s">
        <v>438</v>
      </c>
      <c r="C143" s="23" t="s">
        <v>439</v>
      </c>
      <c r="D143" s="25" t="s">
        <v>440</v>
      </c>
      <c r="E143" s="26" t="s">
        <v>14</v>
      </c>
      <c r="F143" s="27">
        <v>1</v>
      </c>
      <c r="G143" s="28">
        <v>66.75</v>
      </c>
      <c r="H143" s="28">
        <v>5.89</v>
      </c>
      <c r="I143" s="28">
        <f t="shared" si="52"/>
        <v>72.64</v>
      </c>
      <c r="J143" s="28">
        <f t="shared" si="53"/>
        <v>66.75</v>
      </c>
      <c r="K143" s="28">
        <f t="shared" si="54"/>
        <v>5.89</v>
      </c>
      <c r="L143" s="28">
        <f t="shared" si="55"/>
        <v>72.64</v>
      </c>
      <c r="M143" s="28">
        <f t="shared" si="56"/>
        <v>92.88</v>
      </c>
      <c r="N143" s="1"/>
    </row>
    <row r="144" spans="1:14" ht="12.75" customHeight="1" x14ac:dyDescent="0.2">
      <c r="A144" s="23" t="s">
        <v>441</v>
      </c>
      <c r="B144" s="24" t="s">
        <v>442</v>
      </c>
      <c r="C144" s="23" t="s">
        <v>443</v>
      </c>
      <c r="D144" s="25" t="s">
        <v>444</v>
      </c>
      <c r="E144" s="26" t="s">
        <v>14</v>
      </c>
      <c r="F144" s="27">
        <v>4</v>
      </c>
      <c r="G144" s="28">
        <v>67.209999999999994</v>
      </c>
      <c r="H144" s="28">
        <v>8.75</v>
      </c>
      <c r="I144" s="28">
        <f t="shared" si="52"/>
        <v>75.959999999999994</v>
      </c>
      <c r="J144" s="28">
        <f t="shared" si="53"/>
        <v>268.83999999999997</v>
      </c>
      <c r="K144" s="28">
        <f t="shared" si="54"/>
        <v>35</v>
      </c>
      <c r="L144" s="28">
        <f t="shared" si="55"/>
        <v>303.83999999999997</v>
      </c>
      <c r="M144" s="28">
        <f t="shared" si="56"/>
        <v>388.52</v>
      </c>
      <c r="N144" s="1"/>
    </row>
    <row r="145" spans="1:14" ht="12.75" customHeight="1" x14ac:dyDescent="0.2">
      <c r="A145" s="23" t="s">
        <v>445</v>
      </c>
      <c r="B145" s="24" t="s">
        <v>446</v>
      </c>
      <c r="C145" s="23" t="s">
        <v>447</v>
      </c>
      <c r="D145" s="25" t="s">
        <v>448</v>
      </c>
      <c r="E145" s="26"/>
      <c r="F145" s="27">
        <v>2</v>
      </c>
      <c r="G145" s="28">
        <v>99.52</v>
      </c>
      <c r="H145" s="28">
        <v>6.41</v>
      </c>
      <c r="I145" s="28">
        <f t="shared" si="52"/>
        <v>105.92999999999999</v>
      </c>
      <c r="J145" s="28">
        <f t="shared" si="53"/>
        <v>199.04</v>
      </c>
      <c r="K145" s="28">
        <f t="shared" si="54"/>
        <v>12.82</v>
      </c>
      <c r="L145" s="28">
        <f t="shared" si="55"/>
        <v>211.85999999999999</v>
      </c>
      <c r="M145" s="28">
        <f t="shared" si="56"/>
        <v>270.91000000000003</v>
      </c>
      <c r="N145" s="1"/>
    </row>
    <row r="146" spans="1:14" ht="12.75" customHeight="1" x14ac:dyDescent="0.2">
      <c r="A146" s="23" t="s">
        <v>449</v>
      </c>
      <c r="B146" s="24" t="s">
        <v>450</v>
      </c>
      <c r="C146" s="23" t="s">
        <v>451</v>
      </c>
      <c r="D146" s="25" t="s">
        <v>452</v>
      </c>
      <c r="E146" s="26" t="s">
        <v>14</v>
      </c>
      <c r="F146" s="27">
        <v>4</v>
      </c>
      <c r="G146" s="28">
        <v>149.35</v>
      </c>
      <c r="H146" s="28">
        <v>25.35</v>
      </c>
      <c r="I146" s="28">
        <f t="shared" si="52"/>
        <v>174.7</v>
      </c>
      <c r="J146" s="28">
        <f t="shared" si="53"/>
        <v>597.4</v>
      </c>
      <c r="K146" s="28">
        <f t="shared" si="54"/>
        <v>101.4</v>
      </c>
      <c r="L146" s="28">
        <f t="shared" si="55"/>
        <v>698.8</v>
      </c>
      <c r="M146" s="28">
        <f t="shared" si="56"/>
        <v>893.56</v>
      </c>
      <c r="N146" s="1"/>
    </row>
    <row r="147" spans="1:14" ht="12.75" customHeight="1" x14ac:dyDescent="0.2">
      <c r="A147" s="23" t="s">
        <v>453</v>
      </c>
      <c r="B147" s="24" t="s">
        <v>454</v>
      </c>
      <c r="C147" s="23" t="s">
        <v>451</v>
      </c>
      <c r="D147" s="25" t="s">
        <v>452</v>
      </c>
      <c r="E147" s="26" t="s">
        <v>14</v>
      </c>
      <c r="F147" s="27">
        <v>2</v>
      </c>
      <c r="G147" s="28">
        <v>149.35</v>
      </c>
      <c r="H147" s="28">
        <v>25.35</v>
      </c>
      <c r="I147" s="28">
        <f t="shared" si="52"/>
        <v>174.7</v>
      </c>
      <c r="J147" s="28">
        <f t="shared" si="53"/>
        <v>298.7</v>
      </c>
      <c r="K147" s="28">
        <f t="shared" si="54"/>
        <v>50.7</v>
      </c>
      <c r="L147" s="28">
        <f t="shared" si="55"/>
        <v>349.4</v>
      </c>
      <c r="M147" s="28">
        <f t="shared" si="56"/>
        <v>446.78</v>
      </c>
      <c r="N147" s="1"/>
    </row>
    <row r="148" spans="1:14" ht="12.75" customHeight="1" x14ac:dyDescent="0.2">
      <c r="A148" s="23" t="s">
        <v>455</v>
      </c>
      <c r="B148" s="24" t="s">
        <v>456</v>
      </c>
      <c r="C148" s="23" t="s">
        <v>457</v>
      </c>
      <c r="D148" s="25" t="s">
        <v>458</v>
      </c>
      <c r="E148" s="26" t="s">
        <v>14</v>
      </c>
      <c r="F148" s="27">
        <v>1</v>
      </c>
      <c r="G148" s="28">
        <v>702.41</v>
      </c>
      <c r="H148" s="28">
        <v>16.600000000000001</v>
      </c>
      <c r="I148" s="28">
        <f t="shared" si="52"/>
        <v>719.01</v>
      </c>
      <c r="J148" s="28">
        <f t="shared" si="53"/>
        <v>702.41</v>
      </c>
      <c r="K148" s="28">
        <f t="shared" si="54"/>
        <v>16.600000000000001</v>
      </c>
      <c r="L148" s="28">
        <f t="shared" si="55"/>
        <v>719.01</v>
      </c>
      <c r="M148" s="28">
        <f t="shared" si="56"/>
        <v>919.4</v>
      </c>
      <c r="N148" s="1"/>
    </row>
    <row r="149" spans="1:14" ht="12.75" customHeight="1" x14ac:dyDescent="0.2">
      <c r="A149" s="23" t="s">
        <v>459</v>
      </c>
      <c r="B149" s="24" t="s">
        <v>460</v>
      </c>
      <c r="C149" s="23" t="s">
        <v>461</v>
      </c>
      <c r="D149" s="25" t="s">
        <v>462</v>
      </c>
      <c r="E149" s="26" t="s">
        <v>14</v>
      </c>
      <c r="F149" s="27">
        <v>1</v>
      </c>
      <c r="G149" s="28">
        <v>306.7</v>
      </c>
      <c r="H149" s="28">
        <v>0</v>
      </c>
      <c r="I149" s="28">
        <f t="shared" si="52"/>
        <v>306.7</v>
      </c>
      <c r="J149" s="28">
        <f t="shared" si="53"/>
        <v>306.7</v>
      </c>
      <c r="K149" s="28">
        <f t="shared" si="54"/>
        <v>0</v>
      </c>
      <c r="L149" s="28">
        <f t="shared" si="55"/>
        <v>306.7</v>
      </c>
      <c r="M149" s="28">
        <f t="shared" si="56"/>
        <v>392.18</v>
      </c>
      <c r="N149" s="1"/>
    </row>
    <row r="150" spans="1:14" ht="12.75" customHeight="1" x14ac:dyDescent="0.2">
      <c r="A150" s="23" t="s">
        <v>463</v>
      </c>
      <c r="B150" s="24" t="s">
        <v>464</v>
      </c>
      <c r="C150" s="23" t="s">
        <v>465</v>
      </c>
      <c r="D150" s="25" t="s">
        <v>466</v>
      </c>
      <c r="E150" s="26" t="s">
        <v>14</v>
      </c>
      <c r="F150" s="27">
        <v>5</v>
      </c>
      <c r="G150" s="28">
        <v>734.12</v>
      </c>
      <c r="H150" s="28">
        <v>19.41</v>
      </c>
      <c r="I150" s="28">
        <f t="shared" si="52"/>
        <v>753.53</v>
      </c>
      <c r="J150" s="28">
        <f t="shared" si="53"/>
        <v>3670.6</v>
      </c>
      <c r="K150" s="28">
        <f t="shared" si="54"/>
        <v>97.05</v>
      </c>
      <c r="L150" s="28">
        <f t="shared" si="55"/>
        <v>3767.65</v>
      </c>
      <c r="M150" s="28">
        <f t="shared" si="56"/>
        <v>4817.6899999999996</v>
      </c>
      <c r="N150" s="1"/>
    </row>
    <row r="151" spans="1:14" ht="12.75" customHeight="1" x14ac:dyDescent="0.2">
      <c r="A151" s="23" t="s">
        <v>467</v>
      </c>
      <c r="B151" s="24" t="s">
        <v>468</v>
      </c>
      <c r="C151" s="23" t="s">
        <v>469</v>
      </c>
      <c r="D151" s="25" t="s">
        <v>470</v>
      </c>
      <c r="E151" s="26" t="s">
        <v>14</v>
      </c>
      <c r="F151" s="27">
        <v>1</v>
      </c>
      <c r="G151" s="28">
        <v>39.549999999999997</v>
      </c>
      <c r="H151" s="28">
        <v>6.51</v>
      </c>
      <c r="I151" s="28">
        <f t="shared" si="52"/>
        <v>46.059999999999995</v>
      </c>
      <c r="J151" s="28">
        <f t="shared" si="53"/>
        <v>39.549999999999997</v>
      </c>
      <c r="K151" s="28">
        <f t="shared" si="54"/>
        <v>6.51</v>
      </c>
      <c r="L151" s="28">
        <f t="shared" si="55"/>
        <v>46.059999999999995</v>
      </c>
      <c r="M151" s="28">
        <f t="shared" si="56"/>
        <v>58.9</v>
      </c>
      <c r="N151" s="1"/>
    </row>
    <row r="152" spans="1:14" ht="12.75" customHeight="1" x14ac:dyDescent="0.2">
      <c r="A152" s="23" t="s">
        <v>471</v>
      </c>
      <c r="B152" s="24" t="s">
        <v>468</v>
      </c>
      <c r="C152" s="23" t="s">
        <v>472</v>
      </c>
      <c r="D152" s="25" t="s">
        <v>473</v>
      </c>
      <c r="E152" s="26" t="s">
        <v>14</v>
      </c>
      <c r="F152" s="27">
        <v>1</v>
      </c>
      <c r="G152" s="28">
        <v>99.56</v>
      </c>
      <c r="H152" s="28">
        <v>12.79</v>
      </c>
      <c r="I152" s="28">
        <f t="shared" si="52"/>
        <v>112.35</v>
      </c>
      <c r="J152" s="28">
        <f t="shared" si="53"/>
        <v>99.56</v>
      </c>
      <c r="K152" s="28">
        <f t="shared" si="54"/>
        <v>12.79</v>
      </c>
      <c r="L152" s="28">
        <f t="shared" si="55"/>
        <v>112.35</v>
      </c>
      <c r="M152" s="28">
        <f t="shared" si="56"/>
        <v>143.66</v>
      </c>
      <c r="N152" s="1"/>
    </row>
    <row r="153" spans="1:14" ht="12.75" customHeight="1" x14ac:dyDescent="0.2">
      <c r="A153" s="23" t="s">
        <v>474</v>
      </c>
      <c r="B153" s="24" t="s">
        <v>475</v>
      </c>
      <c r="C153" s="23" t="s">
        <v>469</v>
      </c>
      <c r="D153" s="25" t="s">
        <v>470</v>
      </c>
      <c r="E153" s="26" t="s">
        <v>14</v>
      </c>
      <c r="F153" s="27">
        <v>1</v>
      </c>
      <c r="G153" s="28">
        <v>39.549999999999997</v>
      </c>
      <c r="H153" s="28">
        <v>6.51</v>
      </c>
      <c r="I153" s="28">
        <f t="shared" si="52"/>
        <v>46.059999999999995</v>
      </c>
      <c r="J153" s="28">
        <f t="shared" si="53"/>
        <v>39.549999999999997</v>
      </c>
      <c r="K153" s="28">
        <f t="shared" si="54"/>
        <v>6.51</v>
      </c>
      <c r="L153" s="28">
        <f t="shared" si="55"/>
        <v>46.059999999999995</v>
      </c>
      <c r="M153" s="28">
        <f t="shared" si="56"/>
        <v>58.9</v>
      </c>
      <c r="N153" s="1"/>
    </row>
    <row r="154" spans="1:14" ht="12.75" customHeight="1" x14ac:dyDescent="0.2">
      <c r="A154" s="23" t="s">
        <v>476</v>
      </c>
      <c r="B154" s="24" t="s">
        <v>475</v>
      </c>
      <c r="C154" s="23" t="s">
        <v>472</v>
      </c>
      <c r="D154" s="25" t="s">
        <v>473</v>
      </c>
      <c r="E154" s="26" t="s">
        <v>14</v>
      </c>
      <c r="F154" s="27">
        <v>1</v>
      </c>
      <c r="G154" s="28">
        <v>99.56</v>
      </c>
      <c r="H154" s="28">
        <v>12.79</v>
      </c>
      <c r="I154" s="28">
        <f t="shared" si="52"/>
        <v>112.35</v>
      </c>
      <c r="J154" s="28">
        <f t="shared" si="53"/>
        <v>99.56</v>
      </c>
      <c r="K154" s="28">
        <f t="shared" si="54"/>
        <v>12.79</v>
      </c>
      <c r="L154" s="28">
        <f t="shared" si="55"/>
        <v>112.35</v>
      </c>
      <c r="M154" s="28">
        <f t="shared" si="56"/>
        <v>143.66</v>
      </c>
      <c r="N154" s="1"/>
    </row>
    <row r="155" spans="1:14" ht="12.75" customHeight="1" x14ac:dyDescent="0.25">
      <c r="A155" s="51"/>
      <c r="B155" s="52"/>
      <c r="C155" s="52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1"/>
    </row>
    <row r="156" spans="1:14" ht="12.75" customHeight="1" x14ac:dyDescent="0.2">
      <c r="A156" s="29" t="s">
        <v>477</v>
      </c>
      <c r="B156" s="239" t="s">
        <v>478</v>
      </c>
      <c r="C156" s="240"/>
      <c r="D156" s="47"/>
      <c r="E156" s="48"/>
      <c r="F156" s="49"/>
      <c r="G156" s="33"/>
      <c r="H156" s="33"/>
      <c r="I156" s="33"/>
      <c r="J156" s="33">
        <f t="shared" ref="J156:M156" si="57">SUM(J158:J234)</f>
        <v>59033.083099999982</v>
      </c>
      <c r="K156" s="33">
        <f t="shared" si="57"/>
        <v>9246.6124999999993</v>
      </c>
      <c r="L156" s="33">
        <f t="shared" si="57"/>
        <v>68279.695600000006</v>
      </c>
      <c r="M156" s="33">
        <f t="shared" si="57"/>
        <v>87309.280000000042</v>
      </c>
      <c r="N156" s="22">
        <f>M156</f>
        <v>87309.280000000042</v>
      </c>
    </row>
    <row r="157" spans="1:14" ht="12.75" customHeight="1" x14ac:dyDescent="0.2">
      <c r="A157" s="17" t="s">
        <v>479</v>
      </c>
      <c r="B157" s="18" t="s">
        <v>480</v>
      </c>
      <c r="C157" s="17"/>
      <c r="D157" s="19"/>
      <c r="E157" s="20"/>
      <c r="F157" s="53"/>
      <c r="G157" s="21"/>
      <c r="H157" s="21"/>
      <c r="I157" s="21"/>
      <c r="J157" s="21"/>
      <c r="K157" s="21"/>
      <c r="L157" s="21"/>
      <c r="M157" s="21"/>
      <c r="N157" s="1"/>
    </row>
    <row r="158" spans="1:14" ht="12.75" customHeight="1" x14ac:dyDescent="0.2">
      <c r="A158" s="23" t="s">
        <v>481</v>
      </c>
      <c r="B158" s="24" t="s">
        <v>482</v>
      </c>
      <c r="C158" s="23" t="s">
        <v>483</v>
      </c>
      <c r="D158" s="25" t="s">
        <v>484</v>
      </c>
      <c r="E158" s="26" t="s">
        <v>171</v>
      </c>
      <c r="F158" s="27">
        <v>25</v>
      </c>
      <c r="G158" s="28">
        <v>3.1</v>
      </c>
      <c r="H158" s="28">
        <v>9.3800000000000008</v>
      </c>
      <c r="I158" s="28">
        <f t="shared" ref="I158:I173" si="58">G158+H158</f>
        <v>12.48</v>
      </c>
      <c r="J158" s="28">
        <f t="shared" ref="J158:J173" si="59">G158*F158</f>
        <v>77.5</v>
      </c>
      <c r="K158" s="28">
        <f t="shared" ref="K158:K173" si="60">H158*F158</f>
        <v>234.50000000000003</v>
      </c>
      <c r="L158" s="28">
        <f t="shared" ref="L158:L173" si="61">J158+K158</f>
        <v>312</v>
      </c>
      <c r="M158" s="28">
        <f t="shared" ref="M158:M173" si="62">ROUND(L158*(1+$M$4),2)</f>
        <v>398.95</v>
      </c>
      <c r="N158" s="1"/>
    </row>
    <row r="159" spans="1:14" ht="12.75" customHeight="1" x14ac:dyDescent="0.2">
      <c r="A159" s="23" t="s">
        <v>485</v>
      </c>
      <c r="B159" s="24" t="s">
        <v>486</v>
      </c>
      <c r="C159" s="23" t="s">
        <v>487</v>
      </c>
      <c r="D159" s="25" t="s">
        <v>488</v>
      </c>
      <c r="E159" s="26" t="s">
        <v>171</v>
      </c>
      <c r="F159" s="27">
        <v>25</v>
      </c>
      <c r="G159" s="28">
        <v>3.92</v>
      </c>
      <c r="H159" s="28">
        <v>8.4499999999999993</v>
      </c>
      <c r="I159" s="28">
        <f t="shared" si="58"/>
        <v>12.37</v>
      </c>
      <c r="J159" s="28">
        <f t="shared" si="59"/>
        <v>98</v>
      </c>
      <c r="K159" s="28">
        <f t="shared" si="60"/>
        <v>211.24999999999997</v>
      </c>
      <c r="L159" s="28">
        <f t="shared" si="61"/>
        <v>309.25</v>
      </c>
      <c r="M159" s="28">
        <f t="shared" si="62"/>
        <v>395.44</v>
      </c>
      <c r="N159" s="1"/>
    </row>
    <row r="160" spans="1:14" ht="12.75" customHeight="1" x14ac:dyDescent="0.2">
      <c r="A160" s="23" t="s">
        <v>489</v>
      </c>
      <c r="B160" s="24" t="s">
        <v>490</v>
      </c>
      <c r="C160" s="23" t="s">
        <v>491</v>
      </c>
      <c r="D160" s="25" t="s">
        <v>492</v>
      </c>
      <c r="E160" s="26" t="s">
        <v>171</v>
      </c>
      <c r="F160" s="27">
        <v>30</v>
      </c>
      <c r="G160" s="28">
        <v>9.9700000000000006</v>
      </c>
      <c r="H160" s="28">
        <v>11.83</v>
      </c>
      <c r="I160" s="28">
        <f t="shared" si="58"/>
        <v>21.8</v>
      </c>
      <c r="J160" s="28">
        <f t="shared" si="59"/>
        <v>299.10000000000002</v>
      </c>
      <c r="K160" s="28">
        <f t="shared" si="60"/>
        <v>354.9</v>
      </c>
      <c r="L160" s="28">
        <f t="shared" si="61"/>
        <v>654</v>
      </c>
      <c r="M160" s="28">
        <f t="shared" si="62"/>
        <v>836.27</v>
      </c>
      <c r="N160" s="1"/>
    </row>
    <row r="161" spans="1:14" ht="12.75" customHeight="1" x14ac:dyDescent="0.2">
      <c r="A161" s="23" t="s">
        <v>493</v>
      </c>
      <c r="B161" s="24" t="s">
        <v>490</v>
      </c>
      <c r="C161" s="23" t="s">
        <v>494</v>
      </c>
      <c r="D161" s="25" t="s">
        <v>495</v>
      </c>
      <c r="E161" s="26" t="s">
        <v>171</v>
      </c>
      <c r="F161" s="27">
        <v>15</v>
      </c>
      <c r="G161" s="28">
        <v>21.54</v>
      </c>
      <c r="H161" s="28">
        <v>6.03</v>
      </c>
      <c r="I161" s="28">
        <f t="shared" si="58"/>
        <v>27.57</v>
      </c>
      <c r="J161" s="28">
        <f t="shared" si="59"/>
        <v>323.09999999999997</v>
      </c>
      <c r="K161" s="28">
        <f t="shared" si="60"/>
        <v>90.45</v>
      </c>
      <c r="L161" s="28">
        <f t="shared" si="61"/>
        <v>413.54999999999995</v>
      </c>
      <c r="M161" s="28">
        <f t="shared" si="62"/>
        <v>528.80999999999995</v>
      </c>
      <c r="N161" s="1"/>
    </row>
    <row r="162" spans="1:14" ht="12.75" customHeight="1" x14ac:dyDescent="0.2">
      <c r="A162" s="23" t="s">
        <v>496</v>
      </c>
      <c r="B162" s="24" t="s">
        <v>497</v>
      </c>
      <c r="C162" s="23" t="s">
        <v>498</v>
      </c>
      <c r="D162" s="25" t="s">
        <v>499</v>
      </c>
      <c r="E162" s="26" t="s">
        <v>14</v>
      </c>
      <c r="F162" s="27">
        <v>2</v>
      </c>
      <c r="G162" s="28">
        <v>10.57</v>
      </c>
      <c r="H162" s="28">
        <v>3.64</v>
      </c>
      <c r="I162" s="28">
        <f t="shared" si="58"/>
        <v>14.21</v>
      </c>
      <c r="J162" s="28">
        <f t="shared" si="59"/>
        <v>21.14</v>
      </c>
      <c r="K162" s="28">
        <f t="shared" si="60"/>
        <v>7.28</v>
      </c>
      <c r="L162" s="28">
        <f t="shared" si="61"/>
        <v>28.42</v>
      </c>
      <c r="M162" s="28">
        <f t="shared" si="62"/>
        <v>36.340000000000003</v>
      </c>
      <c r="N162" s="1"/>
    </row>
    <row r="163" spans="1:14" ht="12.75" customHeight="1" x14ac:dyDescent="0.2">
      <c r="A163" s="23" t="s">
        <v>500</v>
      </c>
      <c r="B163" s="24" t="s">
        <v>497</v>
      </c>
      <c r="C163" s="23" t="s">
        <v>501</v>
      </c>
      <c r="D163" s="25" t="s">
        <v>502</v>
      </c>
      <c r="E163" s="26" t="s">
        <v>14</v>
      </c>
      <c r="F163" s="27">
        <v>12</v>
      </c>
      <c r="G163" s="28">
        <v>3.65</v>
      </c>
      <c r="H163" s="28">
        <v>3.2</v>
      </c>
      <c r="I163" s="28">
        <f t="shared" si="58"/>
        <v>6.85</v>
      </c>
      <c r="J163" s="28">
        <f t="shared" si="59"/>
        <v>43.8</v>
      </c>
      <c r="K163" s="28">
        <f t="shared" si="60"/>
        <v>38.400000000000006</v>
      </c>
      <c r="L163" s="28">
        <f t="shared" si="61"/>
        <v>82.2</v>
      </c>
      <c r="M163" s="28">
        <f t="shared" si="62"/>
        <v>105.11</v>
      </c>
      <c r="N163" s="1"/>
    </row>
    <row r="164" spans="1:14" ht="12.75" customHeight="1" x14ac:dyDescent="0.2">
      <c r="A164" s="23" t="s">
        <v>503</v>
      </c>
      <c r="B164" s="24" t="s">
        <v>504</v>
      </c>
      <c r="C164" s="23" t="s">
        <v>505</v>
      </c>
      <c r="D164" s="25" t="s">
        <v>506</v>
      </c>
      <c r="E164" s="26" t="s">
        <v>14</v>
      </c>
      <c r="F164" s="27">
        <v>1</v>
      </c>
      <c r="G164" s="28">
        <v>143.54</v>
      </c>
      <c r="H164" s="28">
        <v>11.95</v>
      </c>
      <c r="I164" s="28">
        <f t="shared" si="58"/>
        <v>155.48999999999998</v>
      </c>
      <c r="J164" s="28">
        <f t="shared" si="59"/>
        <v>143.54</v>
      </c>
      <c r="K164" s="28">
        <f t="shared" si="60"/>
        <v>11.95</v>
      </c>
      <c r="L164" s="28">
        <f t="shared" si="61"/>
        <v>155.48999999999998</v>
      </c>
      <c r="M164" s="28">
        <f t="shared" si="62"/>
        <v>198.83</v>
      </c>
      <c r="N164" s="1"/>
    </row>
    <row r="165" spans="1:14" ht="12.75" customHeight="1" x14ac:dyDescent="0.2">
      <c r="A165" s="23" t="s">
        <v>507</v>
      </c>
      <c r="B165" s="24" t="s">
        <v>504</v>
      </c>
      <c r="C165" s="23" t="s">
        <v>508</v>
      </c>
      <c r="D165" s="25" t="s">
        <v>509</v>
      </c>
      <c r="E165" s="26" t="s">
        <v>14</v>
      </c>
      <c r="F165" s="27">
        <v>6</v>
      </c>
      <c r="G165" s="28">
        <v>80.760000000000005</v>
      </c>
      <c r="H165" s="28">
        <v>7.06</v>
      </c>
      <c r="I165" s="28">
        <f t="shared" si="58"/>
        <v>87.820000000000007</v>
      </c>
      <c r="J165" s="28">
        <f t="shared" si="59"/>
        <v>484.56000000000006</v>
      </c>
      <c r="K165" s="28">
        <f t="shared" si="60"/>
        <v>42.36</v>
      </c>
      <c r="L165" s="28">
        <f t="shared" si="61"/>
        <v>526.92000000000007</v>
      </c>
      <c r="M165" s="28">
        <f t="shared" si="62"/>
        <v>673.77</v>
      </c>
      <c r="N165" s="1"/>
    </row>
    <row r="166" spans="1:14" ht="12.75" customHeight="1" x14ac:dyDescent="0.2">
      <c r="A166" s="23" t="s">
        <v>510</v>
      </c>
      <c r="B166" s="24" t="s">
        <v>511</v>
      </c>
      <c r="C166" s="23" t="s">
        <v>512</v>
      </c>
      <c r="D166" s="25" t="s">
        <v>513</v>
      </c>
      <c r="E166" s="26" t="s">
        <v>14</v>
      </c>
      <c r="F166" s="27">
        <v>20</v>
      </c>
      <c r="G166" s="28">
        <v>4.04</v>
      </c>
      <c r="H166" s="28">
        <v>4.8099999999999996</v>
      </c>
      <c r="I166" s="28">
        <f t="shared" si="58"/>
        <v>8.85</v>
      </c>
      <c r="J166" s="28">
        <f t="shared" si="59"/>
        <v>80.8</v>
      </c>
      <c r="K166" s="28">
        <f t="shared" si="60"/>
        <v>96.199999999999989</v>
      </c>
      <c r="L166" s="28">
        <f t="shared" si="61"/>
        <v>177</v>
      </c>
      <c r="M166" s="28">
        <f t="shared" si="62"/>
        <v>226.33</v>
      </c>
      <c r="N166" s="1"/>
    </row>
    <row r="167" spans="1:14" ht="12.75" customHeight="1" x14ac:dyDescent="0.2">
      <c r="A167" s="23" t="s">
        <v>514</v>
      </c>
      <c r="B167" s="24" t="s">
        <v>511</v>
      </c>
      <c r="C167" s="23" t="s">
        <v>515</v>
      </c>
      <c r="D167" s="25" t="s">
        <v>516</v>
      </c>
      <c r="E167" s="26" t="s">
        <v>14</v>
      </c>
      <c r="F167" s="27">
        <v>2</v>
      </c>
      <c r="G167" s="28">
        <v>12.07</v>
      </c>
      <c r="H167" s="28">
        <v>3.45</v>
      </c>
      <c r="I167" s="28">
        <f t="shared" si="58"/>
        <v>15.52</v>
      </c>
      <c r="J167" s="28">
        <f t="shared" si="59"/>
        <v>24.14</v>
      </c>
      <c r="K167" s="28">
        <f t="shared" si="60"/>
        <v>6.9</v>
      </c>
      <c r="L167" s="28">
        <f t="shared" si="61"/>
        <v>31.04</v>
      </c>
      <c r="M167" s="28">
        <f t="shared" si="62"/>
        <v>39.69</v>
      </c>
      <c r="N167" s="1"/>
    </row>
    <row r="168" spans="1:14" ht="12.75" customHeight="1" x14ac:dyDescent="0.2">
      <c r="A168" s="23" t="s">
        <v>517</v>
      </c>
      <c r="B168" s="24" t="s">
        <v>511</v>
      </c>
      <c r="C168" s="23" t="s">
        <v>518</v>
      </c>
      <c r="D168" s="25" t="s">
        <v>519</v>
      </c>
      <c r="E168" s="26" t="s">
        <v>14</v>
      </c>
      <c r="F168" s="27">
        <v>8</v>
      </c>
      <c r="G168" s="28">
        <v>11.31</v>
      </c>
      <c r="H168" s="28">
        <v>4.79</v>
      </c>
      <c r="I168" s="28">
        <f t="shared" si="58"/>
        <v>16.100000000000001</v>
      </c>
      <c r="J168" s="28">
        <f t="shared" si="59"/>
        <v>90.48</v>
      </c>
      <c r="K168" s="28">
        <f t="shared" si="60"/>
        <v>38.32</v>
      </c>
      <c r="L168" s="28">
        <f t="shared" si="61"/>
        <v>128.80000000000001</v>
      </c>
      <c r="M168" s="28">
        <f t="shared" si="62"/>
        <v>164.7</v>
      </c>
      <c r="N168" s="1"/>
    </row>
    <row r="169" spans="1:14" ht="12.75" customHeight="1" x14ac:dyDescent="0.2">
      <c r="A169" s="23" t="s">
        <v>520</v>
      </c>
      <c r="B169" s="24" t="s">
        <v>511</v>
      </c>
      <c r="C169" s="23" t="s">
        <v>521</v>
      </c>
      <c r="D169" s="25" t="s">
        <v>522</v>
      </c>
      <c r="E169" s="26" t="s">
        <v>14</v>
      </c>
      <c r="F169" s="27">
        <v>2</v>
      </c>
      <c r="G169" s="28">
        <v>20.100000000000001</v>
      </c>
      <c r="H169" s="28">
        <v>4.59</v>
      </c>
      <c r="I169" s="28">
        <f t="shared" si="58"/>
        <v>24.69</v>
      </c>
      <c r="J169" s="28">
        <f t="shared" si="59"/>
        <v>40.200000000000003</v>
      </c>
      <c r="K169" s="28">
        <f t="shared" si="60"/>
        <v>9.18</v>
      </c>
      <c r="L169" s="28">
        <f t="shared" si="61"/>
        <v>49.38</v>
      </c>
      <c r="M169" s="28">
        <f t="shared" si="62"/>
        <v>63.14</v>
      </c>
      <c r="N169" s="1"/>
    </row>
    <row r="170" spans="1:14" ht="12.75" customHeight="1" x14ac:dyDescent="0.2">
      <c r="A170" s="23" t="s">
        <v>523</v>
      </c>
      <c r="B170" s="24" t="s">
        <v>511</v>
      </c>
      <c r="C170" s="23" t="s">
        <v>524</v>
      </c>
      <c r="D170" s="25" t="s">
        <v>525</v>
      </c>
      <c r="E170" s="26" t="s">
        <v>14</v>
      </c>
      <c r="F170" s="27">
        <v>8</v>
      </c>
      <c r="G170" s="28">
        <v>4.99</v>
      </c>
      <c r="H170" s="28">
        <v>3.85</v>
      </c>
      <c r="I170" s="28">
        <f t="shared" si="58"/>
        <v>8.84</v>
      </c>
      <c r="J170" s="28">
        <f t="shared" si="59"/>
        <v>39.92</v>
      </c>
      <c r="K170" s="28">
        <f t="shared" si="60"/>
        <v>30.8</v>
      </c>
      <c r="L170" s="28">
        <f t="shared" si="61"/>
        <v>70.72</v>
      </c>
      <c r="M170" s="28">
        <f t="shared" si="62"/>
        <v>90.43</v>
      </c>
      <c r="N170" s="1"/>
    </row>
    <row r="171" spans="1:14" ht="12.75" customHeight="1" x14ac:dyDescent="0.2">
      <c r="A171" s="23" t="s">
        <v>526</v>
      </c>
      <c r="B171" s="24" t="s">
        <v>511</v>
      </c>
      <c r="C171" s="23" t="s">
        <v>527</v>
      </c>
      <c r="D171" s="25" t="s">
        <v>528</v>
      </c>
      <c r="E171" s="26" t="s">
        <v>14</v>
      </c>
      <c r="F171" s="27">
        <v>4</v>
      </c>
      <c r="G171" s="28">
        <v>7.43</v>
      </c>
      <c r="H171" s="28">
        <v>3.19</v>
      </c>
      <c r="I171" s="28">
        <f t="shared" si="58"/>
        <v>10.62</v>
      </c>
      <c r="J171" s="28">
        <f t="shared" si="59"/>
        <v>29.72</v>
      </c>
      <c r="K171" s="28">
        <f t="shared" si="60"/>
        <v>12.76</v>
      </c>
      <c r="L171" s="28">
        <f t="shared" si="61"/>
        <v>42.48</v>
      </c>
      <c r="M171" s="28">
        <f t="shared" si="62"/>
        <v>54.32</v>
      </c>
      <c r="N171" s="1"/>
    </row>
    <row r="172" spans="1:14" ht="12.75" customHeight="1" x14ac:dyDescent="0.2">
      <c r="A172" s="23" t="s">
        <v>529</v>
      </c>
      <c r="B172" s="24" t="s">
        <v>530</v>
      </c>
      <c r="C172" s="23" t="s">
        <v>531</v>
      </c>
      <c r="D172" s="25" t="s">
        <v>532</v>
      </c>
      <c r="E172" s="26" t="s">
        <v>30</v>
      </c>
      <c r="F172" s="27">
        <v>4</v>
      </c>
      <c r="G172" s="28">
        <v>67.239999999999995</v>
      </c>
      <c r="H172" s="28">
        <v>5.4</v>
      </c>
      <c r="I172" s="28">
        <f t="shared" si="58"/>
        <v>72.64</v>
      </c>
      <c r="J172" s="28">
        <f t="shared" si="59"/>
        <v>268.95999999999998</v>
      </c>
      <c r="K172" s="28">
        <f t="shared" si="60"/>
        <v>21.6</v>
      </c>
      <c r="L172" s="28">
        <f t="shared" si="61"/>
        <v>290.56</v>
      </c>
      <c r="M172" s="28">
        <f t="shared" si="62"/>
        <v>371.54</v>
      </c>
      <c r="N172" s="1"/>
    </row>
    <row r="173" spans="1:14" ht="12.75" customHeight="1" x14ac:dyDescent="0.2">
      <c r="A173" s="23" t="s">
        <v>533</v>
      </c>
      <c r="B173" s="24" t="s">
        <v>534</v>
      </c>
      <c r="C173" s="23" t="s">
        <v>535</v>
      </c>
      <c r="D173" s="25" t="s">
        <v>536</v>
      </c>
      <c r="E173" s="26" t="s">
        <v>14</v>
      </c>
      <c r="F173" s="27">
        <v>1</v>
      </c>
      <c r="G173" s="28">
        <v>804.78</v>
      </c>
      <c r="H173" s="28">
        <v>87.34</v>
      </c>
      <c r="I173" s="28">
        <f t="shared" si="58"/>
        <v>892.12</v>
      </c>
      <c r="J173" s="28">
        <f t="shared" si="59"/>
        <v>804.78</v>
      </c>
      <c r="K173" s="28">
        <f t="shared" si="60"/>
        <v>87.34</v>
      </c>
      <c r="L173" s="28">
        <f t="shared" si="61"/>
        <v>892.12</v>
      </c>
      <c r="M173" s="28">
        <f t="shared" si="62"/>
        <v>1140.75</v>
      </c>
      <c r="N173" s="1"/>
    </row>
    <row r="174" spans="1:14" ht="12.75" customHeight="1" x14ac:dyDescent="0.2">
      <c r="A174" s="17" t="s">
        <v>537</v>
      </c>
      <c r="B174" s="18" t="s">
        <v>538</v>
      </c>
      <c r="C174" s="17"/>
      <c r="D174" s="19"/>
      <c r="E174" s="20"/>
      <c r="F174" s="20"/>
      <c r="G174" s="21"/>
      <c r="H174" s="21"/>
      <c r="I174" s="21"/>
      <c r="J174" s="21"/>
      <c r="K174" s="21"/>
      <c r="L174" s="21"/>
      <c r="M174" s="21"/>
      <c r="N174" s="1"/>
    </row>
    <row r="175" spans="1:14" ht="12.75" customHeight="1" x14ac:dyDescent="0.2">
      <c r="A175" s="23" t="s">
        <v>539</v>
      </c>
      <c r="B175" s="24" t="s">
        <v>540</v>
      </c>
      <c r="C175" s="23" t="s">
        <v>541</v>
      </c>
      <c r="D175" s="25" t="s">
        <v>542</v>
      </c>
      <c r="E175" s="26" t="s">
        <v>158</v>
      </c>
      <c r="F175" s="27">
        <f>50*0.3*0.6</f>
        <v>9</v>
      </c>
      <c r="G175" s="28">
        <v>25.76</v>
      </c>
      <c r="H175" s="28">
        <v>52.48</v>
      </c>
      <c r="I175" s="28">
        <f t="shared" ref="I175:I190" si="63">G175+H175</f>
        <v>78.239999999999995</v>
      </c>
      <c r="J175" s="28">
        <f t="shared" ref="J175:J190" si="64">G175*F175</f>
        <v>231.84</v>
      </c>
      <c r="K175" s="28">
        <f t="shared" ref="K175:K190" si="65">H175*F175</f>
        <v>472.32</v>
      </c>
      <c r="L175" s="28">
        <f t="shared" ref="L175:L190" si="66">J175+K175</f>
        <v>704.16</v>
      </c>
      <c r="M175" s="28">
        <f t="shared" ref="M175:M190" si="67">ROUND(L175*(1+$M$4),2)</f>
        <v>900.41</v>
      </c>
      <c r="N175" s="1"/>
    </row>
    <row r="176" spans="1:14" ht="12.75" customHeight="1" x14ac:dyDescent="0.2">
      <c r="A176" s="23" t="s">
        <v>543</v>
      </c>
      <c r="B176" s="24" t="s">
        <v>544</v>
      </c>
      <c r="C176" s="23" t="s">
        <v>545</v>
      </c>
      <c r="D176" s="25" t="s">
        <v>546</v>
      </c>
      <c r="E176" s="26" t="s">
        <v>158</v>
      </c>
      <c r="F176" s="27">
        <v>9</v>
      </c>
      <c r="G176" s="28">
        <v>15.62</v>
      </c>
      <c r="H176" s="28">
        <v>31.82</v>
      </c>
      <c r="I176" s="28">
        <f t="shared" si="63"/>
        <v>47.44</v>
      </c>
      <c r="J176" s="28">
        <f t="shared" si="64"/>
        <v>140.57999999999998</v>
      </c>
      <c r="K176" s="28">
        <f t="shared" si="65"/>
        <v>286.38</v>
      </c>
      <c r="L176" s="28">
        <f t="shared" si="66"/>
        <v>426.96</v>
      </c>
      <c r="M176" s="28">
        <f t="shared" si="67"/>
        <v>545.95000000000005</v>
      </c>
      <c r="N176" s="1"/>
    </row>
    <row r="177" spans="1:14" ht="12.75" customHeight="1" x14ac:dyDescent="0.2">
      <c r="A177" s="23" t="s">
        <v>547</v>
      </c>
      <c r="B177" s="24" t="s">
        <v>548</v>
      </c>
      <c r="C177" s="23" t="s">
        <v>549</v>
      </c>
      <c r="D177" s="25" t="s">
        <v>550</v>
      </c>
      <c r="E177" s="26" t="s">
        <v>30</v>
      </c>
      <c r="F177" s="27">
        <f>50*0.2</f>
        <v>10</v>
      </c>
      <c r="G177" s="28">
        <v>57.9</v>
      </c>
      <c r="H177" s="28">
        <v>2.7</v>
      </c>
      <c r="I177" s="28">
        <f t="shared" si="63"/>
        <v>60.6</v>
      </c>
      <c r="J177" s="28">
        <f t="shared" si="64"/>
        <v>579</v>
      </c>
      <c r="K177" s="28">
        <f t="shared" si="65"/>
        <v>27</v>
      </c>
      <c r="L177" s="28">
        <f t="shared" si="66"/>
        <v>606</v>
      </c>
      <c r="M177" s="28">
        <f t="shared" si="67"/>
        <v>774.89</v>
      </c>
      <c r="N177" s="1"/>
    </row>
    <row r="178" spans="1:14" ht="12.75" customHeight="1" x14ac:dyDescent="0.2">
      <c r="A178" s="23" t="s">
        <v>551</v>
      </c>
      <c r="B178" s="24" t="s">
        <v>552</v>
      </c>
      <c r="C178" s="23" t="s">
        <v>553</v>
      </c>
      <c r="D178" s="25" t="s">
        <v>554</v>
      </c>
      <c r="E178" s="26" t="s">
        <v>14</v>
      </c>
      <c r="F178" s="27">
        <v>3</v>
      </c>
      <c r="G178" s="28">
        <v>220.13</v>
      </c>
      <c r="H178" s="28">
        <v>193.12</v>
      </c>
      <c r="I178" s="28">
        <f t="shared" si="63"/>
        <v>413.25</v>
      </c>
      <c r="J178" s="28">
        <f t="shared" si="64"/>
        <v>660.39</v>
      </c>
      <c r="K178" s="28">
        <f t="shared" si="65"/>
        <v>579.36</v>
      </c>
      <c r="L178" s="28">
        <f t="shared" si="66"/>
        <v>1239.75</v>
      </c>
      <c r="M178" s="28">
        <f t="shared" si="67"/>
        <v>1585.27</v>
      </c>
      <c r="N178" s="1"/>
    </row>
    <row r="179" spans="1:14" ht="12.75" customHeight="1" x14ac:dyDescent="0.2">
      <c r="A179" s="23" t="s">
        <v>555</v>
      </c>
      <c r="B179" s="24" t="s">
        <v>556</v>
      </c>
      <c r="C179" s="23" t="s">
        <v>557</v>
      </c>
      <c r="D179" s="25" t="s">
        <v>558</v>
      </c>
      <c r="E179" s="26" t="s">
        <v>14</v>
      </c>
      <c r="F179" s="27">
        <v>1</v>
      </c>
      <c r="G179" s="28">
        <v>315.54000000000002</v>
      </c>
      <c r="H179" s="28">
        <v>12.2</v>
      </c>
      <c r="I179" s="28">
        <f t="shared" si="63"/>
        <v>327.74</v>
      </c>
      <c r="J179" s="28">
        <f t="shared" si="64"/>
        <v>315.54000000000002</v>
      </c>
      <c r="K179" s="28">
        <f t="shared" si="65"/>
        <v>12.2</v>
      </c>
      <c r="L179" s="28">
        <f t="shared" si="66"/>
        <v>327.74</v>
      </c>
      <c r="M179" s="28">
        <f t="shared" si="67"/>
        <v>419.08</v>
      </c>
      <c r="N179" s="1"/>
    </row>
    <row r="180" spans="1:14" ht="12.75" customHeight="1" x14ac:dyDescent="0.2">
      <c r="A180" s="23" t="s">
        <v>559</v>
      </c>
      <c r="B180" s="24" t="s">
        <v>560</v>
      </c>
      <c r="C180" s="23" t="s">
        <v>561</v>
      </c>
      <c r="D180" s="25" t="s">
        <v>562</v>
      </c>
      <c r="E180" s="26" t="s">
        <v>171</v>
      </c>
      <c r="F180" s="27">
        <v>30</v>
      </c>
      <c r="G180" s="28">
        <v>36.67</v>
      </c>
      <c r="H180" s="28">
        <v>23.69</v>
      </c>
      <c r="I180" s="28">
        <f t="shared" si="63"/>
        <v>60.36</v>
      </c>
      <c r="J180" s="28">
        <f t="shared" si="64"/>
        <v>1100.1000000000001</v>
      </c>
      <c r="K180" s="28">
        <f t="shared" si="65"/>
        <v>710.7</v>
      </c>
      <c r="L180" s="28">
        <f t="shared" si="66"/>
        <v>1810.8000000000002</v>
      </c>
      <c r="M180" s="28">
        <f t="shared" si="67"/>
        <v>2315.4699999999998</v>
      </c>
      <c r="N180" s="1"/>
    </row>
    <row r="181" spans="1:14" ht="12.75" customHeight="1" x14ac:dyDescent="0.2">
      <c r="A181" s="23" t="s">
        <v>563</v>
      </c>
      <c r="B181" s="24" t="s">
        <v>560</v>
      </c>
      <c r="C181" s="23" t="s">
        <v>564</v>
      </c>
      <c r="D181" s="25" t="s">
        <v>565</v>
      </c>
      <c r="E181" s="26" t="s">
        <v>171</v>
      </c>
      <c r="F181" s="27">
        <v>6</v>
      </c>
      <c r="G181" s="28">
        <v>10.86</v>
      </c>
      <c r="H181" s="28">
        <v>9.6</v>
      </c>
      <c r="I181" s="28">
        <f t="shared" si="63"/>
        <v>20.46</v>
      </c>
      <c r="J181" s="28">
        <f t="shared" si="64"/>
        <v>65.16</v>
      </c>
      <c r="K181" s="28">
        <f t="shared" si="65"/>
        <v>57.599999999999994</v>
      </c>
      <c r="L181" s="28">
        <f t="shared" si="66"/>
        <v>122.75999999999999</v>
      </c>
      <c r="M181" s="28">
        <f t="shared" si="67"/>
        <v>156.97</v>
      </c>
      <c r="N181" s="1"/>
    </row>
    <row r="182" spans="1:14" ht="12.75" customHeight="1" x14ac:dyDescent="0.2">
      <c r="A182" s="23" t="s">
        <v>566</v>
      </c>
      <c r="B182" s="24" t="s">
        <v>560</v>
      </c>
      <c r="C182" s="23" t="s">
        <v>567</v>
      </c>
      <c r="D182" s="25" t="s">
        <v>568</v>
      </c>
      <c r="E182" s="26" t="s">
        <v>171</v>
      </c>
      <c r="F182" s="27">
        <v>18</v>
      </c>
      <c r="G182" s="28">
        <v>19.03</v>
      </c>
      <c r="H182" s="28">
        <v>12.15</v>
      </c>
      <c r="I182" s="28">
        <f t="shared" si="63"/>
        <v>31.18</v>
      </c>
      <c r="J182" s="28">
        <f t="shared" si="64"/>
        <v>342.54</v>
      </c>
      <c r="K182" s="28">
        <f t="shared" si="65"/>
        <v>218.70000000000002</v>
      </c>
      <c r="L182" s="28">
        <f t="shared" si="66"/>
        <v>561.24</v>
      </c>
      <c r="M182" s="28">
        <f t="shared" si="67"/>
        <v>717.66</v>
      </c>
      <c r="N182" s="1"/>
    </row>
    <row r="183" spans="1:14" ht="12.75" customHeight="1" x14ac:dyDescent="0.2">
      <c r="A183" s="23" t="s">
        <v>569</v>
      </c>
      <c r="B183" s="24" t="s">
        <v>570</v>
      </c>
      <c r="C183" s="23" t="s">
        <v>571</v>
      </c>
      <c r="D183" s="25" t="s">
        <v>572</v>
      </c>
      <c r="E183" s="26" t="s">
        <v>14</v>
      </c>
      <c r="F183" s="27">
        <v>10</v>
      </c>
      <c r="G183" s="28">
        <v>6.55</v>
      </c>
      <c r="H183" s="28">
        <v>1.26</v>
      </c>
      <c r="I183" s="28">
        <f t="shared" si="63"/>
        <v>7.81</v>
      </c>
      <c r="J183" s="28">
        <f t="shared" si="64"/>
        <v>65.5</v>
      </c>
      <c r="K183" s="28">
        <f t="shared" si="65"/>
        <v>12.6</v>
      </c>
      <c r="L183" s="28">
        <f t="shared" si="66"/>
        <v>78.099999999999994</v>
      </c>
      <c r="M183" s="28">
        <f t="shared" si="67"/>
        <v>99.87</v>
      </c>
      <c r="N183" s="1"/>
    </row>
    <row r="184" spans="1:14" ht="12.75" customHeight="1" x14ac:dyDescent="0.2">
      <c r="A184" s="23" t="s">
        <v>573</v>
      </c>
      <c r="B184" s="24" t="s">
        <v>570</v>
      </c>
      <c r="C184" s="23" t="s">
        <v>571</v>
      </c>
      <c r="D184" s="25" t="s">
        <v>574</v>
      </c>
      <c r="E184" s="26" t="s">
        <v>14</v>
      </c>
      <c r="F184" s="27">
        <v>6</v>
      </c>
      <c r="G184" s="28">
        <v>6.55</v>
      </c>
      <c r="H184" s="28">
        <v>1.26</v>
      </c>
      <c r="I184" s="28">
        <f t="shared" si="63"/>
        <v>7.81</v>
      </c>
      <c r="J184" s="28">
        <f t="shared" si="64"/>
        <v>39.299999999999997</v>
      </c>
      <c r="K184" s="28">
        <f t="shared" si="65"/>
        <v>7.5600000000000005</v>
      </c>
      <c r="L184" s="28">
        <f t="shared" si="66"/>
        <v>46.86</v>
      </c>
      <c r="M184" s="28">
        <f t="shared" si="67"/>
        <v>59.92</v>
      </c>
      <c r="N184" s="1"/>
    </row>
    <row r="185" spans="1:14" ht="12.75" customHeight="1" x14ac:dyDescent="0.2">
      <c r="A185" s="23" t="s">
        <v>575</v>
      </c>
      <c r="B185" s="24" t="s">
        <v>570</v>
      </c>
      <c r="C185" s="23" t="s">
        <v>571</v>
      </c>
      <c r="D185" s="25" t="s">
        <v>576</v>
      </c>
      <c r="E185" s="26" t="s">
        <v>14</v>
      </c>
      <c r="F185" s="27">
        <v>8</v>
      </c>
      <c r="G185" s="28">
        <v>6.55</v>
      </c>
      <c r="H185" s="28">
        <v>1.26</v>
      </c>
      <c r="I185" s="28">
        <f t="shared" si="63"/>
        <v>7.81</v>
      </c>
      <c r="J185" s="28">
        <f t="shared" si="64"/>
        <v>52.4</v>
      </c>
      <c r="K185" s="28">
        <f t="shared" si="65"/>
        <v>10.08</v>
      </c>
      <c r="L185" s="28">
        <f t="shared" si="66"/>
        <v>62.48</v>
      </c>
      <c r="M185" s="28">
        <f t="shared" si="67"/>
        <v>79.89</v>
      </c>
      <c r="N185" s="1"/>
    </row>
    <row r="186" spans="1:14" ht="12.75" customHeight="1" x14ac:dyDescent="0.2">
      <c r="A186" s="23" t="s">
        <v>577</v>
      </c>
      <c r="B186" s="24" t="s">
        <v>570</v>
      </c>
      <c r="C186" s="23" t="s">
        <v>578</v>
      </c>
      <c r="D186" s="25" t="s">
        <v>579</v>
      </c>
      <c r="E186" s="26" t="s">
        <v>14</v>
      </c>
      <c r="F186" s="27">
        <v>7</v>
      </c>
      <c r="G186" s="28">
        <v>39.5</v>
      </c>
      <c r="H186" s="28">
        <v>10.55</v>
      </c>
      <c r="I186" s="28">
        <f t="shared" si="63"/>
        <v>50.05</v>
      </c>
      <c r="J186" s="28">
        <f t="shared" si="64"/>
        <v>276.5</v>
      </c>
      <c r="K186" s="28">
        <f t="shared" si="65"/>
        <v>73.850000000000009</v>
      </c>
      <c r="L186" s="28">
        <f t="shared" si="66"/>
        <v>350.35</v>
      </c>
      <c r="M186" s="28">
        <f t="shared" si="67"/>
        <v>447.99</v>
      </c>
      <c r="N186" s="1"/>
    </row>
    <row r="187" spans="1:14" ht="12.75" customHeight="1" x14ac:dyDescent="0.2">
      <c r="A187" s="23" t="s">
        <v>580</v>
      </c>
      <c r="B187" s="24" t="s">
        <v>570</v>
      </c>
      <c r="C187" s="23" t="s">
        <v>581</v>
      </c>
      <c r="D187" s="25" t="s">
        <v>582</v>
      </c>
      <c r="E187" s="26" t="s">
        <v>14</v>
      </c>
      <c r="F187" s="27">
        <v>6</v>
      </c>
      <c r="G187" s="28">
        <v>6.83</v>
      </c>
      <c r="H187" s="28">
        <v>4.16</v>
      </c>
      <c r="I187" s="28">
        <f t="shared" si="63"/>
        <v>10.99</v>
      </c>
      <c r="J187" s="28">
        <f t="shared" si="64"/>
        <v>40.980000000000004</v>
      </c>
      <c r="K187" s="28">
        <f t="shared" si="65"/>
        <v>24.96</v>
      </c>
      <c r="L187" s="28">
        <f t="shared" si="66"/>
        <v>65.94</v>
      </c>
      <c r="M187" s="28">
        <f t="shared" si="67"/>
        <v>84.32</v>
      </c>
      <c r="N187" s="1"/>
    </row>
    <row r="188" spans="1:14" ht="12.75" customHeight="1" x14ac:dyDescent="0.2">
      <c r="A188" s="23" t="s">
        <v>583</v>
      </c>
      <c r="B188" s="24" t="s">
        <v>570</v>
      </c>
      <c r="C188" s="23" t="s">
        <v>581</v>
      </c>
      <c r="D188" s="25" t="s">
        <v>584</v>
      </c>
      <c r="E188" s="26" t="s">
        <v>14</v>
      </c>
      <c r="F188" s="27">
        <v>4</v>
      </c>
      <c r="G188" s="28">
        <v>6.83</v>
      </c>
      <c r="H188" s="28">
        <v>4.16</v>
      </c>
      <c r="I188" s="28">
        <f t="shared" si="63"/>
        <v>10.99</v>
      </c>
      <c r="J188" s="28">
        <f t="shared" si="64"/>
        <v>27.32</v>
      </c>
      <c r="K188" s="28">
        <f t="shared" si="65"/>
        <v>16.64</v>
      </c>
      <c r="L188" s="28">
        <f t="shared" si="66"/>
        <v>43.96</v>
      </c>
      <c r="M188" s="28">
        <f t="shared" si="67"/>
        <v>56.21</v>
      </c>
      <c r="N188" s="1"/>
    </row>
    <row r="189" spans="1:14" ht="12.75" customHeight="1" x14ac:dyDescent="0.2">
      <c r="A189" s="23" t="s">
        <v>585</v>
      </c>
      <c r="B189" s="24" t="s">
        <v>570</v>
      </c>
      <c r="C189" s="23" t="s">
        <v>586</v>
      </c>
      <c r="D189" s="25" t="s">
        <v>587</v>
      </c>
      <c r="E189" s="26" t="s">
        <v>14</v>
      </c>
      <c r="F189" s="27">
        <v>3</v>
      </c>
      <c r="G189" s="28">
        <v>27.76</v>
      </c>
      <c r="H189" s="28">
        <v>7.98</v>
      </c>
      <c r="I189" s="28">
        <f t="shared" si="63"/>
        <v>35.74</v>
      </c>
      <c r="J189" s="28">
        <f t="shared" si="64"/>
        <v>83.28</v>
      </c>
      <c r="K189" s="28">
        <f t="shared" si="65"/>
        <v>23.94</v>
      </c>
      <c r="L189" s="28">
        <f t="shared" si="66"/>
        <v>107.22</v>
      </c>
      <c r="M189" s="28">
        <f t="shared" si="67"/>
        <v>137.1</v>
      </c>
      <c r="N189" s="1"/>
    </row>
    <row r="190" spans="1:14" ht="12.75" customHeight="1" x14ac:dyDescent="0.2">
      <c r="A190" s="23" t="s">
        <v>588</v>
      </c>
      <c r="B190" s="24" t="s">
        <v>589</v>
      </c>
      <c r="C190" s="23" t="s">
        <v>590</v>
      </c>
      <c r="D190" s="25" t="s">
        <v>591</v>
      </c>
      <c r="E190" s="26" t="s">
        <v>14</v>
      </c>
      <c r="F190" s="27">
        <v>4</v>
      </c>
      <c r="G190" s="28">
        <v>11.69</v>
      </c>
      <c r="H190" s="28">
        <v>2.23</v>
      </c>
      <c r="I190" s="28">
        <f t="shared" si="63"/>
        <v>13.92</v>
      </c>
      <c r="J190" s="28">
        <f t="shared" si="64"/>
        <v>46.76</v>
      </c>
      <c r="K190" s="28">
        <f t="shared" si="65"/>
        <v>8.92</v>
      </c>
      <c r="L190" s="28">
        <f t="shared" si="66"/>
        <v>55.68</v>
      </c>
      <c r="M190" s="28">
        <f t="shared" si="67"/>
        <v>71.2</v>
      </c>
      <c r="N190" s="1"/>
    </row>
    <row r="191" spans="1:14" ht="12.75" customHeight="1" x14ac:dyDescent="0.2">
      <c r="A191" s="17" t="s">
        <v>592</v>
      </c>
      <c r="B191" s="18" t="s">
        <v>593</v>
      </c>
      <c r="C191" s="17"/>
      <c r="D191" s="19"/>
      <c r="E191" s="20"/>
      <c r="F191" s="53"/>
      <c r="G191" s="21"/>
      <c r="H191" s="21"/>
      <c r="I191" s="21"/>
      <c r="J191" s="21"/>
      <c r="K191" s="21"/>
      <c r="L191" s="21"/>
      <c r="M191" s="21"/>
      <c r="N191" s="1"/>
    </row>
    <row r="192" spans="1:14" ht="12.75" customHeight="1" x14ac:dyDescent="0.2">
      <c r="A192" s="23" t="s">
        <v>594</v>
      </c>
      <c r="B192" s="24" t="s">
        <v>595</v>
      </c>
      <c r="C192" s="23" t="s">
        <v>596</v>
      </c>
      <c r="D192" s="25" t="s">
        <v>597</v>
      </c>
      <c r="E192" s="26" t="s">
        <v>14</v>
      </c>
      <c r="F192" s="27">
        <v>5</v>
      </c>
      <c r="G192" s="28">
        <v>510.48</v>
      </c>
      <c r="H192" s="28">
        <v>23.85</v>
      </c>
      <c r="I192" s="28">
        <f t="shared" ref="I192:I194" si="68">G192+H192</f>
        <v>534.33000000000004</v>
      </c>
      <c r="J192" s="28">
        <f t="shared" ref="J192:J207" si="69">G192*F192</f>
        <v>2552.4</v>
      </c>
      <c r="K192" s="28">
        <f t="shared" ref="K192:K207" si="70">H192*F192</f>
        <v>119.25</v>
      </c>
      <c r="L192" s="28">
        <f t="shared" ref="L192:L207" si="71">J192+K192</f>
        <v>2671.65</v>
      </c>
      <c r="M192" s="28">
        <f t="shared" ref="M192:M207" si="72">ROUND(L192*(1+$M$4),2)</f>
        <v>3416.24</v>
      </c>
      <c r="N192" s="1"/>
    </row>
    <row r="193" spans="1:14" ht="12.75" customHeight="1" x14ac:dyDescent="0.2">
      <c r="A193" s="23" t="s">
        <v>598</v>
      </c>
      <c r="B193" s="24" t="s">
        <v>599</v>
      </c>
      <c r="C193" s="23" t="s">
        <v>600</v>
      </c>
      <c r="D193" s="25" t="s">
        <v>601</v>
      </c>
      <c r="E193" s="26" t="s">
        <v>14</v>
      </c>
      <c r="F193" s="27">
        <v>5</v>
      </c>
      <c r="G193" s="28">
        <v>36.909999999999997</v>
      </c>
      <c r="H193" s="28">
        <v>3.5</v>
      </c>
      <c r="I193" s="28">
        <f t="shared" si="68"/>
        <v>40.409999999999997</v>
      </c>
      <c r="J193" s="28">
        <f t="shared" si="69"/>
        <v>184.54999999999998</v>
      </c>
      <c r="K193" s="28">
        <f t="shared" si="70"/>
        <v>17.5</v>
      </c>
      <c r="L193" s="28">
        <f t="shared" si="71"/>
        <v>202.04999999999998</v>
      </c>
      <c r="M193" s="28">
        <f t="shared" si="72"/>
        <v>258.36</v>
      </c>
      <c r="N193" s="1"/>
    </row>
    <row r="194" spans="1:14" ht="12.75" customHeight="1" x14ac:dyDescent="0.2">
      <c r="A194" s="23" t="s">
        <v>602</v>
      </c>
      <c r="B194" s="24" t="s">
        <v>603</v>
      </c>
      <c r="C194" s="23" t="s">
        <v>604</v>
      </c>
      <c r="D194" s="25" t="s">
        <v>605</v>
      </c>
      <c r="E194" s="26" t="s">
        <v>14</v>
      </c>
      <c r="F194" s="27">
        <v>1</v>
      </c>
      <c r="G194" s="28">
        <v>222.3</v>
      </c>
      <c r="H194" s="28">
        <v>21.29</v>
      </c>
      <c r="I194" s="28">
        <f t="shared" si="68"/>
        <v>243.59</v>
      </c>
      <c r="J194" s="28">
        <f t="shared" si="69"/>
        <v>222.3</v>
      </c>
      <c r="K194" s="28">
        <f t="shared" si="70"/>
        <v>21.29</v>
      </c>
      <c r="L194" s="28">
        <f t="shared" si="71"/>
        <v>243.59</v>
      </c>
      <c r="M194" s="28">
        <f t="shared" si="72"/>
        <v>311.48</v>
      </c>
      <c r="N194" s="1"/>
    </row>
    <row r="195" spans="1:14" ht="12.75" customHeight="1" x14ac:dyDescent="0.2">
      <c r="A195" s="23" t="s">
        <v>606</v>
      </c>
      <c r="B195" s="24" t="s">
        <v>607</v>
      </c>
      <c r="C195" s="40" t="s">
        <v>608</v>
      </c>
      <c r="D195" s="25" t="s">
        <v>609</v>
      </c>
      <c r="E195" s="26" t="s">
        <v>14</v>
      </c>
      <c r="F195" s="27">
        <v>2</v>
      </c>
      <c r="G195" s="28">
        <v>317.12</v>
      </c>
      <c r="H195" s="28">
        <v>31.68</v>
      </c>
      <c r="I195" s="28">
        <v>348.8</v>
      </c>
      <c r="J195" s="28">
        <f t="shared" si="69"/>
        <v>634.24</v>
      </c>
      <c r="K195" s="28">
        <f t="shared" si="70"/>
        <v>63.36</v>
      </c>
      <c r="L195" s="28">
        <f t="shared" si="71"/>
        <v>697.6</v>
      </c>
      <c r="M195" s="28">
        <f t="shared" si="72"/>
        <v>892.02</v>
      </c>
      <c r="N195" s="1"/>
    </row>
    <row r="196" spans="1:14" ht="12.75" customHeight="1" x14ac:dyDescent="0.2">
      <c r="A196" s="23" t="s">
        <v>610</v>
      </c>
      <c r="B196" s="24" t="s">
        <v>611</v>
      </c>
      <c r="C196" s="23" t="s">
        <v>612</v>
      </c>
      <c r="D196" s="25" t="s">
        <v>613</v>
      </c>
      <c r="E196" s="26" t="s">
        <v>14</v>
      </c>
      <c r="F196" s="27">
        <v>4</v>
      </c>
      <c r="G196" s="28">
        <v>598.89</v>
      </c>
      <c r="H196" s="28">
        <v>31.68</v>
      </c>
      <c r="I196" s="28">
        <f t="shared" ref="I196:I207" si="73">G196+H196</f>
        <v>630.56999999999994</v>
      </c>
      <c r="J196" s="28">
        <f t="shared" si="69"/>
        <v>2395.56</v>
      </c>
      <c r="K196" s="28">
        <f t="shared" si="70"/>
        <v>126.72</v>
      </c>
      <c r="L196" s="28">
        <f t="shared" si="71"/>
        <v>2522.2799999999997</v>
      </c>
      <c r="M196" s="28">
        <f t="shared" si="72"/>
        <v>3225.24</v>
      </c>
      <c r="N196" s="1"/>
    </row>
    <row r="197" spans="1:14" ht="12.75" customHeight="1" x14ac:dyDescent="0.2">
      <c r="A197" s="23" t="s">
        <v>614</v>
      </c>
      <c r="B197" s="24" t="s">
        <v>615</v>
      </c>
      <c r="C197" s="23" t="s">
        <v>616</v>
      </c>
      <c r="D197" s="25" t="s">
        <v>617</v>
      </c>
      <c r="E197" s="26" t="s">
        <v>14</v>
      </c>
      <c r="F197" s="27">
        <v>4</v>
      </c>
      <c r="G197" s="28">
        <v>99.38</v>
      </c>
      <c r="H197" s="28">
        <v>2.1800000000000002</v>
      </c>
      <c r="I197" s="28">
        <f t="shared" si="73"/>
        <v>101.56</v>
      </c>
      <c r="J197" s="28">
        <f t="shared" si="69"/>
        <v>397.52</v>
      </c>
      <c r="K197" s="28">
        <f t="shared" si="70"/>
        <v>8.7200000000000006</v>
      </c>
      <c r="L197" s="28">
        <f t="shared" si="71"/>
        <v>406.24</v>
      </c>
      <c r="M197" s="28">
        <f t="shared" si="72"/>
        <v>519.46</v>
      </c>
      <c r="N197" s="1"/>
    </row>
    <row r="198" spans="1:14" ht="12.75" customHeight="1" x14ac:dyDescent="0.2">
      <c r="A198" s="23" t="s">
        <v>618</v>
      </c>
      <c r="B198" s="24" t="s">
        <v>619</v>
      </c>
      <c r="C198" s="23" t="s">
        <v>620</v>
      </c>
      <c r="D198" s="25" t="s">
        <v>621</v>
      </c>
      <c r="E198" s="26" t="s">
        <v>14</v>
      </c>
      <c r="F198" s="27">
        <v>3</v>
      </c>
      <c r="G198" s="28">
        <v>340.25</v>
      </c>
      <c r="H198" s="28">
        <v>18</v>
      </c>
      <c r="I198" s="28">
        <f t="shared" si="73"/>
        <v>358.25</v>
      </c>
      <c r="J198" s="28">
        <f t="shared" si="69"/>
        <v>1020.75</v>
      </c>
      <c r="K198" s="28">
        <f t="shared" si="70"/>
        <v>54</v>
      </c>
      <c r="L198" s="28">
        <f t="shared" si="71"/>
        <v>1074.75</v>
      </c>
      <c r="M198" s="28">
        <f t="shared" si="72"/>
        <v>1374.28</v>
      </c>
      <c r="N198" s="1"/>
    </row>
    <row r="199" spans="1:14" ht="12.75" customHeight="1" x14ac:dyDescent="0.2">
      <c r="A199" s="23" t="s">
        <v>622</v>
      </c>
      <c r="B199" s="24" t="s">
        <v>623</v>
      </c>
      <c r="C199" s="23" t="s">
        <v>624</v>
      </c>
      <c r="D199" s="25" t="s">
        <v>625</v>
      </c>
      <c r="E199" s="26" t="s">
        <v>14</v>
      </c>
      <c r="F199" s="27">
        <v>2</v>
      </c>
      <c r="G199" s="28">
        <v>84.85</v>
      </c>
      <c r="H199" s="28">
        <v>2.64</v>
      </c>
      <c r="I199" s="28">
        <f t="shared" si="73"/>
        <v>87.49</v>
      </c>
      <c r="J199" s="28">
        <f t="shared" si="69"/>
        <v>169.7</v>
      </c>
      <c r="K199" s="28">
        <f t="shared" si="70"/>
        <v>5.28</v>
      </c>
      <c r="L199" s="28">
        <f t="shared" si="71"/>
        <v>174.98</v>
      </c>
      <c r="M199" s="28">
        <f t="shared" si="72"/>
        <v>223.75</v>
      </c>
      <c r="N199" s="1"/>
    </row>
    <row r="200" spans="1:14" ht="12.75" customHeight="1" x14ac:dyDescent="0.2">
      <c r="A200" s="23" t="s">
        <v>626</v>
      </c>
      <c r="B200" s="24" t="s">
        <v>627</v>
      </c>
      <c r="C200" s="40" t="s">
        <v>628</v>
      </c>
      <c r="D200" s="25" t="s">
        <v>629</v>
      </c>
      <c r="E200" s="26" t="s">
        <v>14</v>
      </c>
      <c r="F200" s="27">
        <v>1</v>
      </c>
      <c r="G200" s="28">
        <v>2377.02</v>
      </c>
      <c r="H200" s="28">
        <v>0</v>
      </c>
      <c r="I200" s="28">
        <f t="shared" si="73"/>
        <v>2377.02</v>
      </c>
      <c r="J200" s="28">
        <f t="shared" si="69"/>
        <v>2377.02</v>
      </c>
      <c r="K200" s="28">
        <f t="shared" si="70"/>
        <v>0</v>
      </c>
      <c r="L200" s="28">
        <f t="shared" si="71"/>
        <v>2377.02</v>
      </c>
      <c r="M200" s="28">
        <f t="shared" si="72"/>
        <v>3039.5</v>
      </c>
      <c r="N200" s="1"/>
    </row>
    <row r="201" spans="1:14" ht="12.75" customHeight="1" x14ac:dyDescent="0.2">
      <c r="A201" s="23" t="s">
        <v>630</v>
      </c>
      <c r="B201" s="24" t="s">
        <v>631</v>
      </c>
      <c r="C201" s="23" t="s">
        <v>632</v>
      </c>
      <c r="D201" s="25" t="s">
        <v>633</v>
      </c>
      <c r="E201" s="26" t="s">
        <v>14</v>
      </c>
      <c r="F201" s="27">
        <v>2</v>
      </c>
      <c r="G201" s="28">
        <v>318.49</v>
      </c>
      <c r="H201" s="28">
        <v>21.69</v>
      </c>
      <c r="I201" s="28">
        <f t="shared" si="73"/>
        <v>340.18</v>
      </c>
      <c r="J201" s="28">
        <f t="shared" si="69"/>
        <v>636.98</v>
      </c>
      <c r="K201" s="28">
        <f t="shared" si="70"/>
        <v>43.38</v>
      </c>
      <c r="L201" s="28">
        <f t="shared" si="71"/>
        <v>680.36</v>
      </c>
      <c r="M201" s="28">
        <f t="shared" si="72"/>
        <v>869.98</v>
      </c>
      <c r="N201" s="1"/>
    </row>
    <row r="202" spans="1:14" ht="12.75" customHeight="1" x14ac:dyDescent="0.2">
      <c r="A202" s="23" t="s">
        <v>634</v>
      </c>
      <c r="B202" s="24" t="s">
        <v>635</v>
      </c>
      <c r="C202" s="23" t="s">
        <v>636</v>
      </c>
      <c r="D202" s="25" t="s">
        <v>637</v>
      </c>
      <c r="E202" s="26" t="s">
        <v>14</v>
      </c>
      <c r="F202" s="27">
        <v>1</v>
      </c>
      <c r="G202" s="28">
        <v>340.59</v>
      </c>
      <c r="H202" s="28">
        <v>21.69</v>
      </c>
      <c r="I202" s="28">
        <f t="shared" si="73"/>
        <v>362.28</v>
      </c>
      <c r="J202" s="28">
        <f t="shared" si="69"/>
        <v>340.59</v>
      </c>
      <c r="K202" s="28">
        <f t="shared" si="70"/>
        <v>21.69</v>
      </c>
      <c r="L202" s="28">
        <f t="shared" si="71"/>
        <v>362.28</v>
      </c>
      <c r="M202" s="28">
        <f t="shared" si="72"/>
        <v>463.25</v>
      </c>
      <c r="N202" s="1"/>
    </row>
    <row r="203" spans="1:14" ht="12.75" customHeight="1" x14ac:dyDescent="0.2">
      <c r="A203" s="23" t="s">
        <v>638</v>
      </c>
      <c r="B203" s="24" t="s">
        <v>639</v>
      </c>
      <c r="C203" s="23" t="s">
        <v>640</v>
      </c>
      <c r="D203" s="25" t="s">
        <v>641</v>
      </c>
      <c r="E203" s="26" t="s">
        <v>14</v>
      </c>
      <c r="F203" s="27">
        <v>2</v>
      </c>
      <c r="G203" s="28">
        <v>355.29</v>
      </c>
      <c r="H203" s="28">
        <v>21.69</v>
      </c>
      <c r="I203" s="28">
        <f t="shared" si="73"/>
        <v>376.98</v>
      </c>
      <c r="J203" s="28">
        <f t="shared" si="69"/>
        <v>710.58</v>
      </c>
      <c r="K203" s="28">
        <f t="shared" si="70"/>
        <v>43.38</v>
      </c>
      <c r="L203" s="28">
        <f t="shared" si="71"/>
        <v>753.96</v>
      </c>
      <c r="M203" s="28">
        <f t="shared" si="72"/>
        <v>964.09</v>
      </c>
      <c r="N203" s="1"/>
    </row>
    <row r="204" spans="1:14" ht="12.75" customHeight="1" x14ac:dyDescent="0.2">
      <c r="A204" s="23" t="s">
        <v>642</v>
      </c>
      <c r="B204" s="24" t="s">
        <v>643</v>
      </c>
      <c r="C204" s="23" t="s">
        <v>644</v>
      </c>
      <c r="D204" s="25" t="s">
        <v>645</v>
      </c>
      <c r="E204" s="26" t="s">
        <v>14</v>
      </c>
      <c r="F204" s="27">
        <v>3</v>
      </c>
      <c r="G204" s="28">
        <v>48.07</v>
      </c>
      <c r="H204" s="28">
        <v>7.23</v>
      </c>
      <c r="I204" s="28">
        <f t="shared" si="73"/>
        <v>55.3</v>
      </c>
      <c r="J204" s="28">
        <f t="shared" si="69"/>
        <v>144.21</v>
      </c>
      <c r="K204" s="28">
        <f t="shared" si="70"/>
        <v>21.69</v>
      </c>
      <c r="L204" s="28">
        <f t="shared" si="71"/>
        <v>165.9</v>
      </c>
      <c r="M204" s="28">
        <f t="shared" si="72"/>
        <v>212.14</v>
      </c>
      <c r="N204" s="1"/>
    </row>
    <row r="205" spans="1:14" ht="12.75" customHeight="1" x14ac:dyDescent="0.2">
      <c r="A205" s="23" t="s">
        <v>646</v>
      </c>
      <c r="B205" s="24" t="s">
        <v>647</v>
      </c>
      <c r="C205" s="23" t="s">
        <v>648</v>
      </c>
      <c r="D205" s="25" t="s">
        <v>649</v>
      </c>
      <c r="E205" s="26" t="s">
        <v>14</v>
      </c>
      <c r="F205" s="27">
        <v>3</v>
      </c>
      <c r="G205" s="28">
        <v>47.37</v>
      </c>
      <c r="H205" s="28">
        <v>0</v>
      </c>
      <c r="I205" s="28">
        <f t="shared" si="73"/>
        <v>47.37</v>
      </c>
      <c r="J205" s="28">
        <f t="shared" si="69"/>
        <v>142.10999999999999</v>
      </c>
      <c r="K205" s="28">
        <f t="shared" si="70"/>
        <v>0</v>
      </c>
      <c r="L205" s="28">
        <f t="shared" si="71"/>
        <v>142.10999999999999</v>
      </c>
      <c r="M205" s="28">
        <f t="shared" si="72"/>
        <v>181.72</v>
      </c>
      <c r="N205" s="1"/>
    </row>
    <row r="206" spans="1:14" ht="12.75" customHeight="1" x14ac:dyDescent="0.2">
      <c r="A206" s="23" t="s">
        <v>650</v>
      </c>
      <c r="B206" s="24" t="s">
        <v>651</v>
      </c>
      <c r="C206" s="23" t="s">
        <v>652</v>
      </c>
      <c r="D206" s="25" t="s">
        <v>653</v>
      </c>
      <c r="E206" s="26" t="s">
        <v>14</v>
      </c>
      <c r="F206" s="27">
        <v>5</v>
      </c>
      <c r="G206" s="28">
        <v>47.37</v>
      </c>
      <c r="H206" s="28">
        <v>0</v>
      </c>
      <c r="I206" s="28">
        <f t="shared" si="73"/>
        <v>47.37</v>
      </c>
      <c r="J206" s="28">
        <f t="shared" si="69"/>
        <v>236.85</v>
      </c>
      <c r="K206" s="28">
        <f t="shared" si="70"/>
        <v>0</v>
      </c>
      <c r="L206" s="28">
        <f t="shared" si="71"/>
        <v>236.85</v>
      </c>
      <c r="M206" s="28">
        <f t="shared" si="72"/>
        <v>302.86</v>
      </c>
      <c r="N206" s="1"/>
    </row>
    <row r="207" spans="1:14" ht="12.75" customHeight="1" x14ac:dyDescent="0.2">
      <c r="A207" s="23" t="s">
        <v>654</v>
      </c>
      <c r="B207" s="24" t="s">
        <v>655</v>
      </c>
      <c r="C207" s="23" t="s">
        <v>656</v>
      </c>
      <c r="D207" s="25" t="s">
        <v>657</v>
      </c>
      <c r="E207" s="26" t="s">
        <v>30</v>
      </c>
      <c r="F207" s="27">
        <v>1.8</v>
      </c>
      <c r="G207" s="28">
        <v>487.33</v>
      </c>
      <c r="H207" s="28">
        <v>0</v>
      </c>
      <c r="I207" s="28">
        <f t="shared" si="73"/>
        <v>487.33</v>
      </c>
      <c r="J207" s="28">
        <f t="shared" si="69"/>
        <v>877.19399999999996</v>
      </c>
      <c r="K207" s="28">
        <f t="shared" si="70"/>
        <v>0</v>
      </c>
      <c r="L207" s="28">
        <f t="shared" si="71"/>
        <v>877.19399999999996</v>
      </c>
      <c r="M207" s="28">
        <f t="shared" si="72"/>
        <v>1121.67</v>
      </c>
      <c r="N207" s="1"/>
    </row>
    <row r="208" spans="1:14" ht="12.75" customHeight="1" x14ac:dyDescent="0.2">
      <c r="A208" s="17" t="s">
        <v>658</v>
      </c>
      <c r="B208" s="18" t="s">
        <v>659</v>
      </c>
      <c r="C208" s="17"/>
      <c r="D208" s="19"/>
      <c r="E208" s="20"/>
      <c r="F208" s="53"/>
      <c r="G208" s="21"/>
      <c r="H208" s="21"/>
      <c r="I208" s="21"/>
      <c r="J208" s="21"/>
      <c r="K208" s="21"/>
      <c r="L208" s="21"/>
      <c r="M208" s="21"/>
      <c r="N208" s="1"/>
    </row>
    <row r="209" spans="1:14" ht="12.75" customHeight="1" x14ac:dyDescent="0.2">
      <c r="A209" s="23" t="s">
        <v>660</v>
      </c>
      <c r="B209" s="24" t="s">
        <v>661</v>
      </c>
      <c r="C209" s="23" t="s">
        <v>662</v>
      </c>
      <c r="D209" s="25" t="s">
        <v>663</v>
      </c>
      <c r="E209" s="26" t="s">
        <v>171</v>
      </c>
      <c r="F209" s="27">
        <v>67</v>
      </c>
      <c r="G209" s="28">
        <f>178.39*3/4</f>
        <v>133.79249999999999</v>
      </c>
      <c r="H209" s="28">
        <f>18.17*3/4</f>
        <v>13.627500000000001</v>
      </c>
      <c r="I209" s="28">
        <f t="shared" ref="I209:I216" si="74">G209+H209</f>
        <v>147.41999999999999</v>
      </c>
      <c r="J209" s="28">
        <f t="shared" ref="J209:J216" si="75">G209*F209</f>
        <v>8964.0974999999999</v>
      </c>
      <c r="K209" s="28">
        <f t="shared" ref="K209:K216" si="76">H209*F209</f>
        <v>913.04250000000013</v>
      </c>
      <c r="L209" s="28">
        <f t="shared" ref="L209:L216" si="77">J209+K209</f>
        <v>9877.14</v>
      </c>
      <c r="M209" s="28">
        <f t="shared" ref="M209:M216" si="78">ROUND(L209*(1+$M$4),2)</f>
        <v>12629.9</v>
      </c>
      <c r="N209" s="1"/>
    </row>
    <row r="210" spans="1:14" ht="12.75" customHeight="1" x14ac:dyDescent="0.2">
      <c r="A210" s="23" t="s">
        <v>664</v>
      </c>
      <c r="B210" s="24" t="s">
        <v>665</v>
      </c>
      <c r="C210" s="23" t="s">
        <v>666</v>
      </c>
      <c r="D210" s="25" t="s">
        <v>667</v>
      </c>
      <c r="E210" s="26" t="s">
        <v>171</v>
      </c>
      <c r="F210" s="27">
        <v>18</v>
      </c>
      <c r="G210" s="28">
        <v>91.24</v>
      </c>
      <c r="H210" s="28">
        <v>10.199999999999999</v>
      </c>
      <c r="I210" s="28">
        <f t="shared" si="74"/>
        <v>101.44</v>
      </c>
      <c r="J210" s="28">
        <f t="shared" si="75"/>
        <v>1642.32</v>
      </c>
      <c r="K210" s="28">
        <f t="shared" si="76"/>
        <v>183.6</v>
      </c>
      <c r="L210" s="28">
        <f t="shared" si="77"/>
        <v>1825.9199999999998</v>
      </c>
      <c r="M210" s="28">
        <f t="shared" si="78"/>
        <v>2334.8000000000002</v>
      </c>
      <c r="N210" s="1"/>
    </row>
    <row r="211" spans="1:14" ht="12.75" customHeight="1" x14ac:dyDescent="0.2">
      <c r="A211" s="23" t="s">
        <v>668</v>
      </c>
      <c r="B211" s="24" t="s">
        <v>669</v>
      </c>
      <c r="C211" s="23" t="s">
        <v>670</v>
      </c>
      <c r="D211" s="25" t="s">
        <v>671</v>
      </c>
      <c r="E211" s="26" t="s">
        <v>14</v>
      </c>
      <c r="F211" s="27">
        <v>1</v>
      </c>
      <c r="G211" s="28">
        <v>457.82</v>
      </c>
      <c r="H211" s="28">
        <v>72.05</v>
      </c>
      <c r="I211" s="28">
        <f t="shared" si="74"/>
        <v>529.87</v>
      </c>
      <c r="J211" s="28">
        <f t="shared" si="75"/>
        <v>457.82</v>
      </c>
      <c r="K211" s="28">
        <f t="shared" si="76"/>
        <v>72.05</v>
      </c>
      <c r="L211" s="28">
        <f t="shared" si="77"/>
        <v>529.87</v>
      </c>
      <c r="M211" s="28">
        <f t="shared" si="78"/>
        <v>677.54</v>
      </c>
      <c r="N211" s="1"/>
    </row>
    <row r="212" spans="1:14" ht="12.75" customHeight="1" x14ac:dyDescent="0.2">
      <c r="A212" s="23" t="s">
        <v>672</v>
      </c>
      <c r="B212" s="24" t="s">
        <v>673</v>
      </c>
      <c r="C212" s="23" t="s">
        <v>674</v>
      </c>
      <c r="D212" s="25" t="s">
        <v>675</v>
      </c>
      <c r="E212" s="26" t="s">
        <v>14</v>
      </c>
      <c r="F212" s="27">
        <v>6</v>
      </c>
      <c r="G212" s="28">
        <v>607.16</v>
      </c>
      <c r="H212" s="28">
        <v>169.7</v>
      </c>
      <c r="I212" s="28">
        <f t="shared" si="74"/>
        <v>776.8599999999999</v>
      </c>
      <c r="J212" s="28">
        <f t="shared" si="75"/>
        <v>3642.96</v>
      </c>
      <c r="K212" s="28">
        <f t="shared" si="76"/>
        <v>1018.1999999999999</v>
      </c>
      <c r="L212" s="28">
        <f t="shared" si="77"/>
        <v>4661.16</v>
      </c>
      <c r="M212" s="28">
        <f t="shared" si="78"/>
        <v>5960.23</v>
      </c>
      <c r="N212" s="1"/>
    </row>
    <row r="213" spans="1:14" ht="12.75" customHeight="1" x14ac:dyDescent="0.2">
      <c r="A213" s="23" t="s">
        <v>676</v>
      </c>
      <c r="B213" s="24" t="s">
        <v>677</v>
      </c>
      <c r="C213" s="23" t="s">
        <v>678</v>
      </c>
      <c r="D213" s="25" t="s">
        <v>679</v>
      </c>
      <c r="E213" s="26" t="s">
        <v>158</v>
      </c>
      <c r="F213" s="27">
        <f t="shared" ref="F213:F214" si="79">140*0.5*0.7</f>
        <v>49</v>
      </c>
      <c r="G213" s="28">
        <v>5.27</v>
      </c>
      <c r="H213" s="28">
        <v>2.3199999999999998</v>
      </c>
      <c r="I213" s="28">
        <f t="shared" si="74"/>
        <v>7.59</v>
      </c>
      <c r="J213" s="28">
        <f t="shared" si="75"/>
        <v>258.22999999999996</v>
      </c>
      <c r="K213" s="28">
        <f t="shared" si="76"/>
        <v>113.67999999999999</v>
      </c>
      <c r="L213" s="28">
        <f t="shared" si="77"/>
        <v>371.90999999999997</v>
      </c>
      <c r="M213" s="28">
        <f t="shared" si="78"/>
        <v>475.56</v>
      </c>
      <c r="N213" s="1"/>
    </row>
    <row r="214" spans="1:14" ht="12.75" customHeight="1" x14ac:dyDescent="0.2">
      <c r="A214" s="23" t="s">
        <v>680</v>
      </c>
      <c r="B214" s="24" t="s">
        <v>544</v>
      </c>
      <c r="C214" s="23" t="s">
        <v>681</v>
      </c>
      <c r="D214" s="25" t="s">
        <v>682</v>
      </c>
      <c r="E214" s="26" t="s">
        <v>158</v>
      </c>
      <c r="F214" s="27">
        <f t="shared" si="79"/>
        <v>49</v>
      </c>
      <c r="G214" s="28">
        <v>12.07</v>
      </c>
      <c r="H214" s="28">
        <v>10.18</v>
      </c>
      <c r="I214" s="28">
        <f t="shared" si="74"/>
        <v>22.25</v>
      </c>
      <c r="J214" s="28">
        <f t="shared" si="75"/>
        <v>591.43000000000006</v>
      </c>
      <c r="K214" s="28">
        <f t="shared" si="76"/>
        <v>498.82</v>
      </c>
      <c r="L214" s="28">
        <f t="shared" si="77"/>
        <v>1090.25</v>
      </c>
      <c r="M214" s="28">
        <f t="shared" si="78"/>
        <v>1394.1</v>
      </c>
      <c r="N214" s="1"/>
    </row>
    <row r="215" spans="1:14" ht="12.75" customHeight="1" x14ac:dyDescent="0.2">
      <c r="A215" s="23" t="s">
        <v>683</v>
      </c>
      <c r="B215" s="24" t="s">
        <v>684</v>
      </c>
      <c r="C215" s="23" t="s">
        <v>685</v>
      </c>
      <c r="D215" s="25" t="s">
        <v>686</v>
      </c>
      <c r="E215" s="26" t="s">
        <v>171</v>
      </c>
      <c r="F215" s="27">
        <v>13</v>
      </c>
      <c r="G215" s="28">
        <v>40.44</v>
      </c>
      <c r="H215" s="28">
        <v>4.4000000000000004</v>
      </c>
      <c r="I215" s="28">
        <f t="shared" si="74"/>
        <v>44.839999999999996</v>
      </c>
      <c r="J215" s="28">
        <f t="shared" si="75"/>
        <v>525.72</v>
      </c>
      <c r="K215" s="28">
        <f t="shared" si="76"/>
        <v>57.2</v>
      </c>
      <c r="L215" s="28">
        <f t="shared" si="77"/>
        <v>582.92000000000007</v>
      </c>
      <c r="M215" s="28">
        <f t="shared" si="78"/>
        <v>745.38</v>
      </c>
      <c r="N215" s="1"/>
    </row>
    <row r="216" spans="1:14" ht="12.75" customHeight="1" x14ac:dyDescent="0.2">
      <c r="A216" s="23" t="s">
        <v>687</v>
      </c>
      <c r="B216" s="24" t="s">
        <v>688</v>
      </c>
      <c r="C216" s="23" t="s">
        <v>689</v>
      </c>
      <c r="D216" s="25" t="s">
        <v>690</v>
      </c>
      <c r="E216" s="26" t="s">
        <v>171</v>
      </c>
      <c r="F216" s="27">
        <f>24+40+44+2</f>
        <v>110</v>
      </c>
      <c r="G216" s="28">
        <v>100.85</v>
      </c>
      <c r="H216" s="28">
        <v>5.74</v>
      </c>
      <c r="I216" s="28">
        <f t="shared" si="74"/>
        <v>106.58999999999999</v>
      </c>
      <c r="J216" s="28">
        <f t="shared" si="75"/>
        <v>11093.5</v>
      </c>
      <c r="K216" s="28">
        <f t="shared" si="76"/>
        <v>631.4</v>
      </c>
      <c r="L216" s="28">
        <f t="shared" si="77"/>
        <v>11724.9</v>
      </c>
      <c r="M216" s="28">
        <f t="shared" si="78"/>
        <v>14992.63</v>
      </c>
      <c r="N216" s="1"/>
    </row>
    <row r="217" spans="1:14" ht="12.75" customHeight="1" x14ac:dyDescent="0.2">
      <c r="A217" s="17" t="s">
        <v>691</v>
      </c>
      <c r="B217" s="18" t="s">
        <v>692</v>
      </c>
      <c r="C217" s="17"/>
      <c r="D217" s="19"/>
      <c r="E217" s="20"/>
      <c r="F217" s="53"/>
      <c r="G217" s="21"/>
      <c r="H217" s="21"/>
      <c r="I217" s="21"/>
      <c r="J217" s="21"/>
      <c r="K217" s="21"/>
      <c r="L217" s="21"/>
      <c r="M217" s="21"/>
      <c r="N217" s="1"/>
    </row>
    <row r="218" spans="1:14" ht="12.75" customHeight="1" x14ac:dyDescent="0.2">
      <c r="A218" s="23" t="s">
        <v>693</v>
      </c>
      <c r="B218" s="24" t="s">
        <v>694</v>
      </c>
      <c r="C218" s="23" t="s">
        <v>695</v>
      </c>
      <c r="D218" s="25" t="s">
        <v>696</v>
      </c>
      <c r="E218" s="26" t="s">
        <v>14</v>
      </c>
      <c r="F218" s="27">
        <v>20</v>
      </c>
      <c r="G218" s="28">
        <v>46.41</v>
      </c>
      <c r="H218" s="28">
        <v>2.27</v>
      </c>
      <c r="I218" s="28">
        <f t="shared" ref="I218:I234" si="80">G218+H218</f>
        <v>48.68</v>
      </c>
      <c r="J218" s="28">
        <f t="shared" ref="J218:J234" si="81">G218*F218</f>
        <v>928.19999999999993</v>
      </c>
      <c r="K218" s="28">
        <f t="shared" ref="K218:K234" si="82">H218*F218</f>
        <v>45.4</v>
      </c>
      <c r="L218" s="28">
        <f t="shared" ref="L218:L234" si="83">J218+K218</f>
        <v>973.59999999999991</v>
      </c>
      <c r="M218" s="28">
        <f t="shared" ref="M218:M234" si="84">ROUND(L218*(1+$M$4),2)</f>
        <v>1244.94</v>
      </c>
      <c r="N218" s="1"/>
    </row>
    <row r="219" spans="1:14" ht="12.75" customHeight="1" x14ac:dyDescent="0.2">
      <c r="A219" s="23" t="s">
        <v>697</v>
      </c>
      <c r="B219" s="24" t="s">
        <v>698</v>
      </c>
      <c r="C219" s="23" t="s">
        <v>699</v>
      </c>
      <c r="D219" s="25" t="s">
        <v>700</v>
      </c>
      <c r="E219" s="26" t="s">
        <v>171</v>
      </c>
      <c r="F219" s="27">
        <v>74</v>
      </c>
      <c r="G219" s="28">
        <v>37.58</v>
      </c>
      <c r="H219" s="28">
        <v>3.98</v>
      </c>
      <c r="I219" s="28">
        <f t="shared" si="80"/>
        <v>41.559999999999995</v>
      </c>
      <c r="J219" s="28">
        <f t="shared" si="81"/>
        <v>2780.92</v>
      </c>
      <c r="K219" s="28">
        <f t="shared" si="82"/>
        <v>294.52</v>
      </c>
      <c r="L219" s="28">
        <f t="shared" si="83"/>
        <v>3075.44</v>
      </c>
      <c r="M219" s="28">
        <f t="shared" si="84"/>
        <v>3932.57</v>
      </c>
      <c r="N219" s="1"/>
    </row>
    <row r="220" spans="1:14" ht="12.75" customHeight="1" x14ac:dyDescent="0.2">
      <c r="A220" s="23" t="s">
        <v>701</v>
      </c>
      <c r="B220" s="24" t="s">
        <v>702</v>
      </c>
      <c r="C220" s="23" t="s">
        <v>703</v>
      </c>
      <c r="D220" s="25" t="s">
        <v>704</v>
      </c>
      <c r="E220" s="26" t="s">
        <v>14</v>
      </c>
      <c r="F220" s="27">
        <v>48</v>
      </c>
      <c r="G220" s="28">
        <v>18.739999999999998</v>
      </c>
      <c r="H220" s="28">
        <v>4.37</v>
      </c>
      <c r="I220" s="28">
        <f t="shared" si="80"/>
        <v>23.11</v>
      </c>
      <c r="J220" s="28">
        <f t="shared" si="81"/>
        <v>899.52</v>
      </c>
      <c r="K220" s="28">
        <f t="shared" si="82"/>
        <v>209.76</v>
      </c>
      <c r="L220" s="28">
        <f t="shared" si="83"/>
        <v>1109.28</v>
      </c>
      <c r="M220" s="28">
        <f t="shared" si="84"/>
        <v>1418.44</v>
      </c>
      <c r="N220" s="1"/>
    </row>
    <row r="221" spans="1:14" ht="12.75" customHeight="1" x14ac:dyDescent="0.2">
      <c r="A221" s="23" t="s">
        <v>705</v>
      </c>
      <c r="B221" s="24" t="s">
        <v>706</v>
      </c>
      <c r="C221" s="23" t="s">
        <v>707</v>
      </c>
      <c r="D221" s="25" t="s">
        <v>708</v>
      </c>
      <c r="E221" s="26" t="s">
        <v>14</v>
      </c>
      <c r="F221" s="27">
        <v>4</v>
      </c>
      <c r="G221" s="28">
        <v>12.16</v>
      </c>
      <c r="H221" s="28">
        <v>5.84</v>
      </c>
      <c r="I221" s="28">
        <f t="shared" si="80"/>
        <v>18</v>
      </c>
      <c r="J221" s="28">
        <f t="shared" si="81"/>
        <v>48.64</v>
      </c>
      <c r="K221" s="28">
        <f t="shared" si="82"/>
        <v>23.36</v>
      </c>
      <c r="L221" s="28">
        <f t="shared" si="83"/>
        <v>72</v>
      </c>
      <c r="M221" s="28">
        <f t="shared" si="84"/>
        <v>92.07</v>
      </c>
      <c r="N221" s="1"/>
    </row>
    <row r="222" spans="1:14" ht="12.75" customHeight="1" x14ac:dyDescent="0.2">
      <c r="A222" s="23" t="s">
        <v>709</v>
      </c>
      <c r="B222" s="24" t="s">
        <v>710</v>
      </c>
      <c r="C222" s="23" t="s">
        <v>711</v>
      </c>
      <c r="D222" s="25" t="s">
        <v>712</v>
      </c>
      <c r="E222" s="26" t="s">
        <v>14</v>
      </c>
      <c r="F222" s="27">
        <v>8</v>
      </c>
      <c r="G222" s="28">
        <v>5.69</v>
      </c>
      <c r="H222" s="28">
        <v>3.04</v>
      </c>
      <c r="I222" s="28">
        <f t="shared" si="80"/>
        <v>8.73</v>
      </c>
      <c r="J222" s="28">
        <f t="shared" si="81"/>
        <v>45.52</v>
      </c>
      <c r="K222" s="28">
        <f t="shared" si="82"/>
        <v>24.32</v>
      </c>
      <c r="L222" s="28">
        <f t="shared" si="83"/>
        <v>69.84</v>
      </c>
      <c r="M222" s="28">
        <f t="shared" si="84"/>
        <v>89.3</v>
      </c>
      <c r="N222" s="1"/>
    </row>
    <row r="223" spans="1:14" ht="12.75" customHeight="1" x14ac:dyDescent="0.2">
      <c r="A223" s="23" t="s">
        <v>713</v>
      </c>
      <c r="B223" s="24" t="s">
        <v>714</v>
      </c>
      <c r="C223" s="23" t="s">
        <v>715</v>
      </c>
      <c r="D223" s="25" t="s">
        <v>716</v>
      </c>
      <c r="E223" s="26" t="s">
        <v>14</v>
      </c>
      <c r="F223" s="27">
        <v>4</v>
      </c>
      <c r="G223" s="28">
        <v>46.41</v>
      </c>
      <c r="H223" s="28">
        <v>2.27</v>
      </c>
      <c r="I223" s="28">
        <f t="shared" si="80"/>
        <v>48.68</v>
      </c>
      <c r="J223" s="28">
        <f t="shared" si="81"/>
        <v>185.64</v>
      </c>
      <c r="K223" s="28">
        <f t="shared" si="82"/>
        <v>9.08</v>
      </c>
      <c r="L223" s="28">
        <f t="shared" si="83"/>
        <v>194.72</v>
      </c>
      <c r="M223" s="28">
        <f t="shared" si="84"/>
        <v>248.99</v>
      </c>
      <c r="N223" s="1"/>
    </row>
    <row r="224" spans="1:14" ht="12.75" customHeight="1" x14ac:dyDescent="0.2">
      <c r="A224" s="23" t="s">
        <v>717</v>
      </c>
      <c r="B224" s="24" t="s">
        <v>718</v>
      </c>
      <c r="C224" s="23" t="s">
        <v>719</v>
      </c>
      <c r="D224" s="25" t="s">
        <v>720</v>
      </c>
      <c r="E224" s="26" t="s">
        <v>171</v>
      </c>
      <c r="F224" s="27">
        <v>74</v>
      </c>
      <c r="G224" s="28">
        <v>1.48</v>
      </c>
      <c r="H224" s="28">
        <v>1.44</v>
      </c>
      <c r="I224" s="28">
        <f t="shared" si="80"/>
        <v>2.92</v>
      </c>
      <c r="J224" s="28">
        <f t="shared" si="81"/>
        <v>109.52</v>
      </c>
      <c r="K224" s="28">
        <f t="shared" si="82"/>
        <v>106.56</v>
      </c>
      <c r="L224" s="28">
        <f t="shared" si="83"/>
        <v>216.07999999999998</v>
      </c>
      <c r="M224" s="28">
        <f t="shared" si="84"/>
        <v>276.3</v>
      </c>
      <c r="N224" s="1"/>
    </row>
    <row r="225" spans="1:14" ht="12.75" customHeight="1" x14ac:dyDescent="0.2">
      <c r="A225" s="23" t="s">
        <v>721</v>
      </c>
      <c r="B225" s="24" t="s">
        <v>722</v>
      </c>
      <c r="C225" s="23">
        <v>100723</v>
      </c>
      <c r="D225" s="25" t="s">
        <v>723</v>
      </c>
      <c r="E225" s="26" t="s">
        <v>30</v>
      </c>
      <c r="F225" s="27">
        <v>10</v>
      </c>
      <c r="G225" s="28">
        <v>8.74</v>
      </c>
      <c r="H225" s="28">
        <v>1.18</v>
      </c>
      <c r="I225" s="28">
        <f t="shared" si="80"/>
        <v>9.92</v>
      </c>
      <c r="J225" s="28">
        <f t="shared" si="81"/>
        <v>87.4</v>
      </c>
      <c r="K225" s="28">
        <f t="shared" si="82"/>
        <v>11.799999999999999</v>
      </c>
      <c r="L225" s="28">
        <f t="shared" si="83"/>
        <v>99.2</v>
      </c>
      <c r="M225" s="28">
        <f t="shared" si="84"/>
        <v>126.85</v>
      </c>
      <c r="N225" s="1"/>
    </row>
    <row r="226" spans="1:14" ht="12.75" customHeight="1" x14ac:dyDescent="0.2">
      <c r="A226" s="23" t="s">
        <v>724</v>
      </c>
      <c r="B226" s="24" t="s">
        <v>725</v>
      </c>
      <c r="C226" s="23" t="s">
        <v>549</v>
      </c>
      <c r="D226" s="25" t="s">
        <v>550</v>
      </c>
      <c r="E226" s="26" t="s">
        <v>30</v>
      </c>
      <c r="F226" s="27">
        <v>3</v>
      </c>
      <c r="G226" s="28">
        <v>57.9</v>
      </c>
      <c r="H226" s="28">
        <v>2.7</v>
      </c>
      <c r="I226" s="28">
        <f t="shared" si="80"/>
        <v>60.6</v>
      </c>
      <c r="J226" s="28">
        <f t="shared" si="81"/>
        <v>173.7</v>
      </c>
      <c r="K226" s="28">
        <f t="shared" si="82"/>
        <v>8.1000000000000014</v>
      </c>
      <c r="L226" s="28">
        <f t="shared" si="83"/>
        <v>181.79999999999998</v>
      </c>
      <c r="M226" s="28">
        <f t="shared" si="84"/>
        <v>232.47</v>
      </c>
      <c r="N226" s="1"/>
    </row>
    <row r="227" spans="1:14" ht="12.75" customHeight="1" x14ac:dyDescent="0.2">
      <c r="A227" s="23" t="s">
        <v>726</v>
      </c>
      <c r="B227" s="24" t="s">
        <v>727</v>
      </c>
      <c r="C227" s="23" t="s">
        <v>728</v>
      </c>
      <c r="D227" s="25" t="s">
        <v>729</v>
      </c>
      <c r="E227" s="26" t="s">
        <v>30</v>
      </c>
      <c r="F227" s="27">
        <v>7</v>
      </c>
      <c r="G227" s="28">
        <v>62.85</v>
      </c>
      <c r="H227" s="28">
        <v>26</v>
      </c>
      <c r="I227" s="28">
        <f t="shared" si="80"/>
        <v>88.85</v>
      </c>
      <c r="J227" s="28">
        <f t="shared" si="81"/>
        <v>439.95</v>
      </c>
      <c r="K227" s="28">
        <f t="shared" si="82"/>
        <v>182</v>
      </c>
      <c r="L227" s="28">
        <f t="shared" si="83"/>
        <v>621.95000000000005</v>
      </c>
      <c r="M227" s="28">
        <f t="shared" si="84"/>
        <v>795.29</v>
      </c>
      <c r="N227" s="1"/>
    </row>
    <row r="228" spans="1:14" ht="12.75" customHeight="1" x14ac:dyDescent="0.2">
      <c r="A228" s="23" t="s">
        <v>730</v>
      </c>
      <c r="B228" s="24" t="s">
        <v>731</v>
      </c>
      <c r="C228" s="23" t="s">
        <v>732</v>
      </c>
      <c r="D228" s="25" t="s">
        <v>733</v>
      </c>
      <c r="E228" s="26" t="s">
        <v>30</v>
      </c>
      <c r="F228" s="27">
        <v>2.8</v>
      </c>
      <c r="G228" s="28">
        <v>150.18</v>
      </c>
      <c r="H228" s="28">
        <v>24.97</v>
      </c>
      <c r="I228" s="28">
        <f t="shared" si="80"/>
        <v>175.15</v>
      </c>
      <c r="J228" s="28">
        <f t="shared" si="81"/>
        <v>420.50400000000002</v>
      </c>
      <c r="K228" s="28">
        <f t="shared" si="82"/>
        <v>69.915999999999997</v>
      </c>
      <c r="L228" s="28">
        <f t="shared" si="83"/>
        <v>490.42</v>
      </c>
      <c r="M228" s="28">
        <f t="shared" si="84"/>
        <v>627.1</v>
      </c>
      <c r="N228" s="1"/>
    </row>
    <row r="229" spans="1:14" ht="12.75" customHeight="1" x14ac:dyDescent="0.2">
      <c r="A229" s="23" t="s">
        <v>734</v>
      </c>
      <c r="B229" s="24" t="s">
        <v>735</v>
      </c>
      <c r="C229" s="23">
        <v>87879</v>
      </c>
      <c r="D229" s="25" t="s">
        <v>269</v>
      </c>
      <c r="E229" s="26" t="s">
        <v>30</v>
      </c>
      <c r="F229" s="27">
        <v>15</v>
      </c>
      <c r="G229" s="28">
        <v>1.96</v>
      </c>
      <c r="H229" s="28">
        <v>1.68</v>
      </c>
      <c r="I229" s="28">
        <f t="shared" si="80"/>
        <v>3.6399999999999997</v>
      </c>
      <c r="J229" s="28">
        <f t="shared" si="81"/>
        <v>29.4</v>
      </c>
      <c r="K229" s="28">
        <f t="shared" si="82"/>
        <v>25.2</v>
      </c>
      <c r="L229" s="28">
        <f t="shared" si="83"/>
        <v>54.599999999999994</v>
      </c>
      <c r="M229" s="28">
        <f t="shared" si="84"/>
        <v>69.819999999999993</v>
      </c>
      <c r="N229" s="1"/>
    </row>
    <row r="230" spans="1:14" ht="12.75" customHeight="1" x14ac:dyDescent="0.2">
      <c r="A230" s="23" t="s">
        <v>736</v>
      </c>
      <c r="B230" s="24" t="s">
        <v>735</v>
      </c>
      <c r="C230" s="23">
        <v>87794</v>
      </c>
      <c r="D230" s="25" t="s">
        <v>272</v>
      </c>
      <c r="E230" s="26" t="s">
        <v>30</v>
      </c>
      <c r="F230" s="27">
        <v>15</v>
      </c>
      <c r="G230" s="28">
        <v>20.63</v>
      </c>
      <c r="H230" s="28">
        <v>17.14</v>
      </c>
      <c r="I230" s="28">
        <f t="shared" si="80"/>
        <v>37.769999999999996</v>
      </c>
      <c r="J230" s="28">
        <f t="shared" si="81"/>
        <v>309.45</v>
      </c>
      <c r="K230" s="28">
        <f t="shared" si="82"/>
        <v>257.10000000000002</v>
      </c>
      <c r="L230" s="28">
        <f t="shared" si="83"/>
        <v>566.54999999999995</v>
      </c>
      <c r="M230" s="28">
        <f t="shared" si="84"/>
        <v>724.45</v>
      </c>
      <c r="N230" s="1"/>
    </row>
    <row r="231" spans="1:14" ht="12.75" customHeight="1" x14ac:dyDescent="0.2">
      <c r="A231" s="23" t="s">
        <v>737</v>
      </c>
      <c r="B231" s="24" t="s">
        <v>735</v>
      </c>
      <c r="C231" s="23" t="s">
        <v>275</v>
      </c>
      <c r="D231" s="25" t="s">
        <v>276</v>
      </c>
      <c r="E231" s="26" t="s">
        <v>30</v>
      </c>
      <c r="F231" s="27">
        <v>15</v>
      </c>
      <c r="G231" s="28">
        <v>1.63</v>
      </c>
      <c r="H231" s="28">
        <v>0.54</v>
      </c>
      <c r="I231" s="28">
        <f t="shared" si="80"/>
        <v>2.17</v>
      </c>
      <c r="J231" s="28">
        <f t="shared" si="81"/>
        <v>24.45</v>
      </c>
      <c r="K231" s="28">
        <f t="shared" si="82"/>
        <v>8.1000000000000014</v>
      </c>
      <c r="L231" s="28">
        <f t="shared" si="83"/>
        <v>32.549999999999997</v>
      </c>
      <c r="M231" s="28">
        <f t="shared" si="84"/>
        <v>41.62</v>
      </c>
      <c r="N231" s="1"/>
    </row>
    <row r="232" spans="1:14" ht="12.75" customHeight="1" x14ac:dyDescent="0.2">
      <c r="A232" s="23" t="s">
        <v>738</v>
      </c>
      <c r="B232" s="24" t="s">
        <v>735</v>
      </c>
      <c r="C232" s="23" t="s">
        <v>249</v>
      </c>
      <c r="D232" s="25" t="s">
        <v>250</v>
      </c>
      <c r="E232" s="26" t="s">
        <v>30</v>
      </c>
      <c r="F232" s="27">
        <v>15</v>
      </c>
      <c r="G232" s="28">
        <v>9.27</v>
      </c>
      <c r="H232" s="28">
        <v>4.4000000000000004</v>
      </c>
      <c r="I232" s="28">
        <f t="shared" si="80"/>
        <v>13.67</v>
      </c>
      <c r="J232" s="28">
        <f t="shared" si="81"/>
        <v>139.04999999999998</v>
      </c>
      <c r="K232" s="28">
        <f t="shared" si="82"/>
        <v>66</v>
      </c>
      <c r="L232" s="28">
        <f t="shared" si="83"/>
        <v>205.04999999999998</v>
      </c>
      <c r="M232" s="28">
        <f t="shared" si="84"/>
        <v>262.2</v>
      </c>
      <c r="N232" s="1"/>
    </row>
    <row r="233" spans="1:14" ht="12.75" customHeight="1" x14ac:dyDescent="0.2">
      <c r="A233" s="23" t="s">
        <v>739</v>
      </c>
      <c r="B233" s="24" t="s">
        <v>740</v>
      </c>
      <c r="C233" s="23" t="s">
        <v>741</v>
      </c>
      <c r="D233" s="25" t="s">
        <v>742</v>
      </c>
      <c r="E233" s="26" t="s">
        <v>30</v>
      </c>
      <c r="F233" s="27">
        <f>2.2*1.6</f>
        <v>3.5200000000000005</v>
      </c>
      <c r="G233" s="28">
        <v>697.63</v>
      </c>
      <c r="H233" s="28">
        <v>9.6999999999999993</v>
      </c>
      <c r="I233" s="28">
        <f t="shared" si="80"/>
        <v>707.33</v>
      </c>
      <c r="J233" s="28">
        <f t="shared" si="81"/>
        <v>2455.6576000000005</v>
      </c>
      <c r="K233" s="28">
        <f t="shared" si="82"/>
        <v>34.144000000000005</v>
      </c>
      <c r="L233" s="28">
        <f t="shared" si="83"/>
        <v>2489.8016000000007</v>
      </c>
      <c r="M233" s="28">
        <f t="shared" si="84"/>
        <v>3183.71</v>
      </c>
      <c r="N233" s="1"/>
    </row>
    <row r="234" spans="1:14" ht="12.75" customHeight="1" x14ac:dyDescent="0.2">
      <c r="A234" s="23" t="s">
        <v>743</v>
      </c>
      <c r="B234" s="24" t="s">
        <v>744</v>
      </c>
      <c r="C234" s="23" t="s">
        <v>745</v>
      </c>
      <c r="D234" s="25" t="s">
        <v>746</v>
      </c>
      <c r="E234" s="26" t="s">
        <v>14</v>
      </c>
      <c r="F234" s="27">
        <v>4</v>
      </c>
      <c r="G234" s="28">
        <v>700</v>
      </c>
      <c r="H234" s="28">
        <v>0</v>
      </c>
      <c r="I234" s="28">
        <f t="shared" si="80"/>
        <v>700</v>
      </c>
      <c r="J234" s="28">
        <f t="shared" si="81"/>
        <v>2800</v>
      </c>
      <c r="K234" s="28">
        <f t="shared" si="82"/>
        <v>0</v>
      </c>
      <c r="L234" s="28">
        <f t="shared" si="83"/>
        <v>2800</v>
      </c>
      <c r="M234" s="28">
        <f t="shared" si="84"/>
        <v>3580.36</v>
      </c>
      <c r="N234" s="1"/>
    </row>
    <row r="235" spans="1:14" ht="12.75" customHeight="1" x14ac:dyDescent="0.2">
      <c r="A235" s="23"/>
      <c r="B235" s="24"/>
      <c r="C235" s="23"/>
      <c r="D235" s="25"/>
      <c r="E235" s="26"/>
      <c r="F235" s="27"/>
      <c r="G235" s="28"/>
      <c r="H235" s="28"/>
      <c r="I235" s="28"/>
      <c r="J235" s="28"/>
      <c r="K235" s="28"/>
      <c r="L235" s="28"/>
      <c r="M235" s="28"/>
      <c r="N235" s="1"/>
    </row>
    <row r="236" spans="1:14" ht="12.75" customHeight="1" x14ac:dyDescent="0.2">
      <c r="A236" s="54" t="s">
        <v>747</v>
      </c>
      <c r="B236" s="278" t="s">
        <v>748</v>
      </c>
      <c r="C236" s="246"/>
      <c r="D236" s="240"/>
      <c r="E236" s="55"/>
      <c r="F236" s="56"/>
      <c r="G236" s="57"/>
      <c r="H236" s="57"/>
      <c r="I236" s="57"/>
      <c r="J236" s="57">
        <f t="shared" ref="J236:M236" si="85">SUM(J237:J255)</f>
        <v>113628.81964799999</v>
      </c>
      <c r="K236" s="57">
        <f t="shared" si="85"/>
        <v>7793.4293880000005</v>
      </c>
      <c r="L236" s="57">
        <f t="shared" si="85"/>
        <v>121422.24903599999</v>
      </c>
      <c r="M236" s="57">
        <f t="shared" si="85"/>
        <v>155262.64000000001</v>
      </c>
      <c r="N236" s="22">
        <f>M236</f>
        <v>155262.64000000001</v>
      </c>
    </row>
    <row r="237" spans="1:14" ht="12.75" customHeight="1" x14ac:dyDescent="0.2">
      <c r="A237" s="58" t="s">
        <v>749</v>
      </c>
      <c r="B237" s="59" t="s">
        <v>750</v>
      </c>
      <c r="C237" s="58"/>
      <c r="D237" s="60"/>
      <c r="E237" s="61"/>
      <c r="F237" s="62"/>
      <c r="G237" s="63"/>
      <c r="H237" s="63"/>
      <c r="I237" s="63"/>
      <c r="J237" s="63"/>
      <c r="K237" s="63"/>
      <c r="L237" s="63"/>
      <c r="M237" s="63"/>
      <c r="N237" s="1"/>
    </row>
    <row r="238" spans="1:14" ht="12.75" customHeight="1" x14ac:dyDescent="0.2">
      <c r="A238" s="23" t="s">
        <v>751</v>
      </c>
      <c r="B238" s="24" t="s">
        <v>752</v>
      </c>
      <c r="C238" s="23">
        <v>101174</v>
      </c>
      <c r="D238" s="25" t="s">
        <v>753</v>
      </c>
      <c r="E238" s="26" t="s">
        <v>171</v>
      </c>
      <c r="F238" s="27">
        <f>20*3</f>
        <v>60</v>
      </c>
      <c r="G238" s="28">
        <v>45.84</v>
      </c>
      <c r="H238" s="28">
        <v>31.29</v>
      </c>
      <c r="I238" s="28">
        <f t="shared" ref="I238:I246" si="86">SUM(G238:H238)</f>
        <v>77.13</v>
      </c>
      <c r="J238" s="28">
        <f t="shared" ref="J238:J246" si="87">G238*F238</f>
        <v>2750.4</v>
      </c>
      <c r="K238" s="28">
        <f t="shared" ref="K238:K246" si="88">H238*F238</f>
        <v>1877.3999999999999</v>
      </c>
      <c r="L238" s="28">
        <f t="shared" ref="L238:L246" si="89">J238+K238</f>
        <v>4627.8</v>
      </c>
      <c r="M238" s="28">
        <f t="shared" ref="M238:M246" si="90">ROUND(L238*(1+$M$4),2)</f>
        <v>5917.57</v>
      </c>
      <c r="N238" s="1"/>
    </row>
    <row r="239" spans="1:14" ht="12.75" customHeight="1" x14ac:dyDescent="0.2">
      <c r="A239" s="23" t="s">
        <v>754</v>
      </c>
      <c r="B239" s="24" t="s">
        <v>755</v>
      </c>
      <c r="C239" s="23" t="s">
        <v>541</v>
      </c>
      <c r="D239" s="25" t="s">
        <v>756</v>
      </c>
      <c r="E239" s="26" t="s">
        <v>63</v>
      </c>
      <c r="F239" s="27">
        <f>60*0.3*0.3</f>
        <v>5.3999999999999995</v>
      </c>
      <c r="G239" s="28">
        <v>25.76</v>
      </c>
      <c r="H239" s="28">
        <v>52.48</v>
      </c>
      <c r="I239" s="28">
        <f t="shared" si="86"/>
        <v>78.239999999999995</v>
      </c>
      <c r="J239" s="28">
        <f t="shared" si="87"/>
        <v>139.10399999999998</v>
      </c>
      <c r="K239" s="28">
        <f t="shared" si="88"/>
        <v>283.39199999999994</v>
      </c>
      <c r="L239" s="28">
        <f t="shared" si="89"/>
        <v>422.49599999999992</v>
      </c>
      <c r="M239" s="28">
        <f t="shared" si="90"/>
        <v>540.25</v>
      </c>
      <c r="N239" s="1"/>
    </row>
    <row r="240" spans="1:14" ht="12.75" customHeight="1" x14ac:dyDescent="0.2">
      <c r="A240" s="23" t="s">
        <v>757</v>
      </c>
      <c r="B240" s="24" t="s">
        <v>758</v>
      </c>
      <c r="C240" s="23">
        <v>94971</v>
      </c>
      <c r="D240" s="25" t="s">
        <v>759</v>
      </c>
      <c r="E240" s="26" t="s">
        <v>158</v>
      </c>
      <c r="F240" s="27">
        <f>ROUNDUP((20*0.5*0.5*0.5)+(60*0.15*0.25),1)</f>
        <v>4.8</v>
      </c>
      <c r="G240" s="28">
        <v>330.98</v>
      </c>
      <c r="H240" s="28">
        <v>43.31</v>
      </c>
      <c r="I240" s="28">
        <f t="shared" si="86"/>
        <v>374.29</v>
      </c>
      <c r="J240" s="28">
        <f t="shared" si="87"/>
        <v>1588.704</v>
      </c>
      <c r="K240" s="28">
        <f t="shared" si="88"/>
        <v>207.88800000000001</v>
      </c>
      <c r="L240" s="28">
        <f t="shared" si="89"/>
        <v>1796.5919999999999</v>
      </c>
      <c r="M240" s="28">
        <f t="shared" si="90"/>
        <v>2297.3000000000002</v>
      </c>
      <c r="N240" s="1"/>
    </row>
    <row r="241" spans="1:14" ht="12.75" customHeight="1" x14ac:dyDescent="0.2">
      <c r="A241" s="23" t="s">
        <v>760</v>
      </c>
      <c r="B241" s="24" t="s">
        <v>761</v>
      </c>
      <c r="C241" s="23" t="s">
        <v>762</v>
      </c>
      <c r="D241" s="25" t="s">
        <v>763</v>
      </c>
      <c r="E241" s="26" t="s">
        <v>764</v>
      </c>
      <c r="F241" s="27">
        <f>(60/0.15)*0.62*0.154*1.1</f>
        <v>42.011200000000002</v>
      </c>
      <c r="G241" s="28">
        <v>13.04</v>
      </c>
      <c r="H241" s="28">
        <v>6.24</v>
      </c>
      <c r="I241" s="28">
        <f t="shared" si="86"/>
        <v>19.28</v>
      </c>
      <c r="J241" s="28">
        <f t="shared" si="87"/>
        <v>547.82604800000001</v>
      </c>
      <c r="K241" s="28">
        <f t="shared" si="88"/>
        <v>262.14988800000003</v>
      </c>
      <c r="L241" s="28">
        <f t="shared" si="89"/>
        <v>809.97593600000005</v>
      </c>
      <c r="M241" s="28">
        <f t="shared" si="90"/>
        <v>1035.72</v>
      </c>
      <c r="N241" s="1"/>
    </row>
    <row r="242" spans="1:14" ht="12.75" customHeight="1" x14ac:dyDescent="0.2">
      <c r="A242" s="23" t="s">
        <v>765</v>
      </c>
      <c r="B242" s="24" t="s">
        <v>761</v>
      </c>
      <c r="C242" s="23" t="s">
        <v>766</v>
      </c>
      <c r="D242" s="25" t="s">
        <v>767</v>
      </c>
      <c r="E242" s="26" t="s">
        <v>764</v>
      </c>
      <c r="F242" s="27">
        <v>220</v>
      </c>
      <c r="G242" s="28">
        <v>13.45</v>
      </c>
      <c r="H242" s="28">
        <v>3.11</v>
      </c>
      <c r="I242" s="28">
        <f t="shared" si="86"/>
        <v>16.559999999999999</v>
      </c>
      <c r="J242" s="28">
        <f t="shared" si="87"/>
        <v>2959</v>
      </c>
      <c r="K242" s="28">
        <f t="shared" si="88"/>
        <v>684.19999999999993</v>
      </c>
      <c r="L242" s="28">
        <f t="shared" si="89"/>
        <v>3643.2</v>
      </c>
      <c r="M242" s="28">
        <f t="shared" si="90"/>
        <v>4658.5600000000004</v>
      </c>
      <c r="N242" s="1"/>
    </row>
    <row r="243" spans="1:14" ht="12.75" customHeight="1" x14ac:dyDescent="0.2">
      <c r="A243" s="23" t="s">
        <v>768</v>
      </c>
      <c r="B243" s="24" t="s">
        <v>769</v>
      </c>
      <c r="C243" s="23" t="s">
        <v>770</v>
      </c>
      <c r="D243" s="25" t="s">
        <v>771</v>
      </c>
      <c r="E243" s="26" t="s">
        <v>764</v>
      </c>
      <c r="F243" s="27">
        <f>20*(0.4*0.4)*33.6</f>
        <v>107.52000000000002</v>
      </c>
      <c r="G243" s="28">
        <v>11.8</v>
      </c>
      <c r="H243" s="28">
        <v>0</v>
      </c>
      <c r="I243" s="28">
        <f t="shared" si="86"/>
        <v>11.8</v>
      </c>
      <c r="J243" s="28">
        <f t="shared" si="87"/>
        <v>1268.7360000000003</v>
      </c>
      <c r="K243" s="28">
        <f t="shared" si="88"/>
        <v>0</v>
      </c>
      <c r="L243" s="28">
        <f t="shared" si="89"/>
        <v>1268.7360000000003</v>
      </c>
      <c r="M243" s="28">
        <f t="shared" si="90"/>
        <v>1622.33</v>
      </c>
      <c r="N243" s="1"/>
    </row>
    <row r="244" spans="1:14" ht="12.75" customHeight="1" x14ac:dyDescent="0.2">
      <c r="A244" s="23" t="s">
        <v>772</v>
      </c>
      <c r="B244" s="24" t="s">
        <v>773</v>
      </c>
      <c r="C244" s="23" t="s">
        <v>774</v>
      </c>
      <c r="D244" s="25" t="s">
        <v>775</v>
      </c>
      <c r="E244" s="26" t="s">
        <v>764</v>
      </c>
      <c r="F244" s="27">
        <f>0.5*4*20*1</f>
        <v>40</v>
      </c>
      <c r="G244" s="28">
        <v>10.49</v>
      </c>
      <c r="H244" s="28">
        <v>0.92</v>
      </c>
      <c r="I244" s="28">
        <f t="shared" si="86"/>
        <v>11.41</v>
      </c>
      <c r="J244" s="28">
        <f t="shared" si="87"/>
        <v>419.6</v>
      </c>
      <c r="K244" s="28">
        <f t="shared" si="88"/>
        <v>36.800000000000004</v>
      </c>
      <c r="L244" s="28">
        <f t="shared" si="89"/>
        <v>456.40000000000003</v>
      </c>
      <c r="M244" s="28">
        <f t="shared" si="90"/>
        <v>583.6</v>
      </c>
      <c r="N244" s="1"/>
    </row>
    <row r="245" spans="1:14" ht="12.75" customHeight="1" x14ac:dyDescent="0.2">
      <c r="A245" s="23" t="s">
        <v>776</v>
      </c>
      <c r="B245" s="24" t="s">
        <v>777</v>
      </c>
      <c r="C245" s="23" t="s">
        <v>778</v>
      </c>
      <c r="D245" s="25" t="s">
        <v>779</v>
      </c>
      <c r="E245" s="26" t="s">
        <v>30</v>
      </c>
      <c r="F245" s="27">
        <f>((20*4*0.4*0.4)+((0.15+0.25+0.15)*60))/4</f>
        <v>11.45</v>
      </c>
      <c r="G245" s="28">
        <v>39.68</v>
      </c>
      <c r="H245" s="28">
        <v>44.11</v>
      </c>
      <c r="I245" s="28">
        <f t="shared" si="86"/>
        <v>83.789999999999992</v>
      </c>
      <c r="J245" s="28">
        <f t="shared" si="87"/>
        <v>454.33599999999996</v>
      </c>
      <c r="K245" s="28">
        <f t="shared" si="88"/>
        <v>505.05949999999996</v>
      </c>
      <c r="L245" s="28">
        <f t="shared" si="89"/>
        <v>959.39549999999986</v>
      </c>
      <c r="M245" s="28">
        <f t="shared" si="90"/>
        <v>1226.78</v>
      </c>
      <c r="N245" s="1"/>
    </row>
    <row r="246" spans="1:14" ht="12.75" customHeight="1" x14ac:dyDescent="0.2">
      <c r="A246" s="23" t="s">
        <v>780</v>
      </c>
      <c r="B246" s="24" t="s">
        <v>781</v>
      </c>
      <c r="C246" s="23" t="s">
        <v>782</v>
      </c>
      <c r="D246" s="25" t="s">
        <v>783</v>
      </c>
      <c r="E246" s="26" t="s">
        <v>30</v>
      </c>
      <c r="F246" s="27">
        <f>(20*4*0.5*0.5)+((0.15+0.25+0.15)*60)</f>
        <v>53</v>
      </c>
      <c r="G246" s="28">
        <v>28.24</v>
      </c>
      <c r="H246" s="28">
        <v>9.14</v>
      </c>
      <c r="I246" s="28">
        <f t="shared" si="86"/>
        <v>37.379999999999995</v>
      </c>
      <c r="J246" s="28">
        <f t="shared" si="87"/>
        <v>1496.72</v>
      </c>
      <c r="K246" s="28">
        <f t="shared" si="88"/>
        <v>484.42</v>
      </c>
      <c r="L246" s="28">
        <f t="shared" si="89"/>
        <v>1981.14</v>
      </c>
      <c r="M246" s="28">
        <f t="shared" si="90"/>
        <v>2533.2800000000002</v>
      </c>
      <c r="N246" s="1"/>
    </row>
    <row r="247" spans="1:14" ht="12.75" customHeight="1" x14ac:dyDescent="0.2">
      <c r="A247" s="58" t="s">
        <v>784</v>
      </c>
      <c r="B247" s="59" t="s">
        <v>785</v>
      </c>
      <c r="C247" s="58"/>
      <c r="D247" s="60"/>
      <c r="E247" s="61"/>
      <c r="F247" s="62"/>
      <c r="G247" s="63"/>
      <c r="H247" s="63"/>
      <c r="I247" s="63"/>
      <c r="J247" s="63"/>
      <c r="K247" s="63"/>
      <c r="L247" s="63"/>
      <c r="M247" s="63"/>
      <c r="N247" s="1"/>
    </row>
    <row r="248" spans="1:14" ht="12.75" customHeight="1" x14ac:dyDescent="0.2">
      <c r="A248" s="23" t="s">
        <v>786</v>
      </c>
      <c r="B248" s="24" t="s">
        <v>787</v>
      </c>
      <c r="C248" s="23" t="s">
        <v>788</v>
      </c>
      <c r="D248" s="25" t="s">
        <v>789</v>
      </c>
      <c r="E248" s="26" t="s">
        <v>764</v>
      </c>
      <c r="F248" s="27">
        <f>20*2.4*16.22</f>
        <v>778.56</v>
      </c>
      <c r="G248" s="28">
        <v>20.86</v>
      </c>
      <c r="H248" s="28">
        <v>0.45</v>
      </c>
      <c r="I248" s="28">
        <f t="shared" ref="I248:I255" si="91">SUM(G248:H248)</f>
        <v>21.31</v>
      </c>
      <c r="J248" s="28">
        <f t="shared" ref="J248:J255" si="92">G248*F248</f>
        <v>16240.761599999998</v>
      </c>
      <c r="K248" s="28">
        <f t="shared" ref="K248:K255" si="93">H248*F248</f>
        <v>350.35199999999998</v>
      </c>
      <c r="L248" s="28">
        <f t="shared" ref="L248:L255" si="94">J248+K248</f>
        <v>16591.113599999997</v>
      </c>
      <c r="M248" s="28">
        <f t="shared" ref="M248:M255" si="95">ROUND(L248*(1+$M$4),2)</f>
        <v>21215.06</v>
      </c>
      <c r="N248" s="1"/>
    </row>
    <row r="249" spans="1:14" ht="12.75" customHeight="1" x14ac:dyDescent="0.2">
      <c r="A249" s="23" t="s">
        <v>790</v>
      </c>
      <c r="B249" s="24" t="s">
        <v>791</v>
      </c>
      <c r="C249" s="23" t="s">
        <v>792</v>
      </c>
      <c r="D249" s="25" t="s">
        <v>793</v>
      </c>
      <c r="E249" s="26" t="s">
        <v>764</v>
      </c>
      <c r="F249" s="27">
        <f>ROUNDUP((5.6*1.1*18*7)*1.05,0)</f>
        <v>815</v>
      </c>
      <c r="G249" s="28">
        <v>20.440000000000001</v>
      </c>
      <c r="H249" s="28">
        <v>1</v>
      </c>
      <c r="I249" s="28">
        <f t="shared" si="91"/>
        <v>21.44</v>
      </c>
      <c r="J249" s="28">
        <f t="shared" si="92"/>
        <v>16658.600000000002</v>
      </c>
      <c r="K249" s="28">
        <f t="shared" si="93"/>
        <v>815</v>
      </c>
      <c r="L249" s="28">
        <f t="shared" si="94"/>
        <v>17473.600000000002</v>
      </c>
      <c r="M249" s="28">
        <f t="shared" si="95"/>
        <v>22343.49</v>
      </c>
      <c r="N249" s="1"/>
    </row>
    <row r="250" spans="1:14" ht="12.75" customHeight="1" x14ac:dyDescent="0.2">
      <c r="A250" s="23" t="s">
        <v>794</v>
      </c>
      <c r="B250" s="24" t="s">
        <v>795</v>
      </c>
      <c r="C250" s="23" t="s">
        <v>792</v>
      </c>
      <c r="D250" s="25" t="s">
        <v>793</v>
      </c>
      <c r="E250" s="26" t="s">
        <v>764</v>
      </c>
      <c r="F250" s="27">
        <f>ROUNDUP((22+22)*18*1.05,0)</f>
        <v>832</v>
      </c>
      <c r="G250" s="28">
        <v>20.440000000000001</v>
      </c>
      <c r="H250" s="28">
        <v>1</v>
      </c>
      <c r="I250" s="28">
        <f t="shared" si="91"/>
        <v>21.44</v>
      </c>
      <c r="J250" s="28">
        <f t="shared" si="92"/>
        <v>17006.080000000002</v>
      </c>
      <c r="K250" s="28">
        <f t="shared" si="93"/>
        <v>832</v>
      </c>
      <c r="L250" s="28">
        <f t="shared" si="94"/>
        <v>17838.080000000002</v>
      </c>
      <c r="M250" s="28">
        <f t="shared" si="95"/>
        <v>22809.55</v>
      </c>
      <c r="N250" s="1"/>
    </row>
    <row r="251" spans="1:14" ht="12.75" customHeight="1" x14ac:dyDescent="0.2">
      <c r="A251" s="23" t="s">
        <v>796</v>
      </c>
      <c r="B251" s="24" t="s">
        <v>797</v>
      </c>
      <c r="C251" s="23" t="s">
        <v>798</v>
      </c>
      <c r="D251" s="25" t="s">
        <v>799</v>
      </c>
      <c r="E251" s="26" t="s">
        <v>30</v>
      </c>
      <c r="F251" s="27">
        <v>140</v>
      </c>
      <c r="G251" s="28">
        <v>67.239999999999995</v>
      </c>
      <c r="H251" s="28">
        <v>5.4</v>
      </c>
      <c r="I251" s="28">
        <f t="shared" si="91"/>
        <v>72.64</v>
      </c>
      <c r="J251" s="28">
        <f t="shared" si="92"/>
        <v>9413.5999999999985</v>
      </c>
      <c r="K251" s="28">
        <f t="shared" si="93"/>
        <v>756</v>
      </c>
      <c r="L251" s="28">
        <f t="shared" si="94"/>
        <v>10169.599999999999</v>
      </c>
      <c r="M251" s="28">
        <f t="shared" si="95"/>
        <v>13003.87</v>
      </c>
      <c r="N251" s="1"/>
    </row>
    <row r="252" spans="1:14" ht="12.75" customHeight="1" x14ac:dyDescent="0.2">
      <c r="A252" s="23" t="s">
        <v>800</v>
      </c>
      <c r="B252" s="24" t="s">
        <v>801</v>
      </c>
      <c r="C252" s="23">
        <v>94216</v>
      </c>
      <c r="D252" s="25" t="s">
        <v>802</v>
      </c>
      <c r="E252" s="26" t="s">
        <v>30</v>
      </c>
      <c r="F252" s="27">
        <v>140</v>
      </c>
      <c r="G252" s="28">
        <v>262.64</v>
      </c>
      <c r="H252" s="28">
        <v>1.79</v>
      </c>
      <c r="I252" s="28">
        <f t="shared" si="91"/>
        <v>264.43</v>
      </c>
      <c r="J252" s="28">
        <f t="shared" si="92"/>
        <v>36769.599999999999</v>
      </c>
      <c r="K252" s="28">
        <f t="shared" si="93"/>
        <v>250.6</v>
      </c>
      <c r="L252" s="28">
        <f t="shared" si="94"/>
        <v>37020.199999999997</v>
      </c>
      <c r="M252" s="28">
        <f t="shared" si="95"/>
        <v>47337.73</v>
      </c>
      <c r="N252" s="1"/>
    </row>
    <row r="253" spans="1:14" ht="12.75" customHeight="1" x14ac:dyDescent="0.2">
      <c r="A253" s="23" t="s">
        <v>803</v>
      </c>
      <c r="B253" s="24" t="s">
        <v>804</v>
      </c>
      <c r="C253" s="23" t="s">
        <v>745</v>
      </c>
      <c r="D253" s="25" t="s">
        <v>805</v>
      </c>
      <c r="E253" s="26" t="s">
        <v>171</v>
      </c>
      <c r="F253" s="27">
        <v>50</v>
      </c>
      <c r="G253" s="28">
        <v>15</v>
      </c>
      <c r="H253" s="28">
        <v>0</v>
      </c>
      <c r="I253" s="28">
        <f t="shared" si="91"/>
        <v>15</v>
      </c>
      <c r="J253" s="28">
        <f t="shared" si="92"/>
        <v>750</v>
      </c>
      <c r="K253" s="28">
        <f t="shared" si="93"/>
        <v>0</v>
      </c>
      <c r="L253" s="28">
        <f t="shared" si="94"/>
        <v>750</v>
      </c>
      <c r="M253" s="28">
        <f t="shared" si="95"/>
        <v>959.03</v>
      </c>
      <c r="N253" s="1"/>
    </row>
    <row r="254" spans="1:14" ht="12.75" customHeight="1" x14ac:dyDescent="0.2">
      <c r="A254" s="23" t="s">
        <v>806</v>
      </c>
      <c r="B254" s="24" t="s">
        <v>807</v>
      </c>
      <c r="C254" s="23" t="s">
        <v>808</v>
      </c>
      <c r="D254" s="25" t="s">
        <v>809</v>
      </c>
      <c r="E254" s="26" t="s">
        <v>30</v>
      </c>
      <c r="F254" s="27">
        <f>24*1.2</f>
        <v>28.799999999999997</v>
      </c>
      <c r="G254" s="28">
        <v>85.29</v>
      </c>
      <c r="H254" s="28">
        <v>2.86</v>
      </c>
      <c r="I254" s="28">
        <f t="shared" si="91"/>
        <v>88.15</v>
      </c>
      <c r="J254" s="28">
        <f t="shared" si="92"/>
        <v>2456.3519999999999</v>
      </c>
      <c r="K254" s="28">
        <f t="shared" si="93"/>
        <v>82.367999999999995</v>
      </c>
      <c r="L254" s="28">
        <f t="shared" si="94"/>
        <v>2538.7199999999998</v>
      </c>
      <c r="M254" s="28">
        <f t="shared" si="95"/>
        <v>3246.26</v>
      </c>
      <c r="N254" s="1"/>
    </row>
    <row r="255" spans="1:14" ht="12.75" customHeight="1" x14ac:dyDescent="0.2">
      <c r="A255" s="23" t="s">
        <v>810</v>
      </c>
      <c r="B255" s="24" t="s">
        <v>811</v>
      </c>
      <c r="C255" s="23">
        <v>100723</v>
      </c>
      <c r="D255" s="25" t="s">
        <v>723</v>
      </c>
      <c r="E255" s="26" t="s">
        <v>30</v>
      </c>
      <c r="F255" s="27">
        <f>30+140+140</f>
        <v>310</v>
      </c>
      <c r="G255" s="28">
        <v>8.74</v>
      </c>
      <c r="H255" s="28">
        <v>1.18</v>
      </c>
      <c r="I255" s="28">
        <f t="shared" si="91"/>
        <v>9.92</v>
      </c>
      <c r="J255" s="28">
        <f t="shared" si="92"/>
        <v>2709.4</v>
      </c>
      <c r="K255" s="28">
        <f t="shared" si="93"/>
        <v>365.79999999999995</v>
      </c>
      <c r="L255" s="28">
        <f t="shared" si="94"/>
        <v>3075.2</v>
      </c>
      <c r="M255" s="28">
        <f t="shared" si="95"/>
        <v>3932.26</v>
      </c>
      <c r="N255" s="1"/>
    </row>
    <row r="256" spans="1:14" ht="12.75" customHeight="1" x14ac:dyDescent="0.25">
      <c r="A256" s="64"/>
      <c r="B256" s="65"/>
      <c r="C256" s="66"/>
      <c r="D256" s="67"/>
      <c r="E256" s="68"/>
      <c r="F256" s="69"/>
      <c r="G256" s="70"/>
      <c r="H256" s="70"/>
      <c r="I256" s="70"/>
      <c r="J256" s="70"/>
      <c r="K256" s="70"/>
      <c r="L256" s="70"/>
      <c r="M256" s="70"/>
      <c r="N256" s="1"/>
    </row>
    <row r="257" spans="1:14" ht="12.75" customHeight="1" x14ac:dyDescent="0.2">
      <c r="A257" s="29" t="s">
        <v>812</v>
      </c>
      <c r="B257" s="239" t="s">
        <v>813</v>
      </c>
      <c r="C257" s="240"/>
      <c r="D257" s="47"/>
      <c r="E257" s="48"/>
      <c r="F257" s="49"/>
      <c r="G257" s="33"/>
      <c r="H257" s="33"/>
      <c r="I257" s="33"/>
      <c r="J257" s="33">
        <f t="shared" ref="J257:M257" si="96">SUM(J258:J261)</f>
        <v>1496.66</v>
      </c>
      <c r="K257" s="33">
        <f t="shared" si="96"/>
        <v>127.10999999999999</v>
      </c>
      <c r="L257" s="33">
        <f t="shared" si="96"/>
        <v>1623.77</v>
      </c>
      <c r="M257" s="33">
        <f t="shared" si="96"/>
        <v>2076.3199999999997</v>
      </c>
      <c r="N257" s="22">
        <f>M257</f>
        <v>2076.3199999999997</v>
      </c>
    </row>
    <row r="258" spans="1:14" ht="12.75" customHeight="1" x14ac:dyDescent="0.2">
      <c r="A258" s="23" t="s">
        <v>814</v>
      </c>
      <c r="B258" s="24" t="s">
        <v>815</v>
      </c>
      <c r="C258" s="23" t="s">
        <v>816</v>
      </c>
      <c r="D258" s="25" t="s">
        <v>817</v>
      </c>
      <c r="E258" s="26" t="s">
        <v>76</v>
      </c>
      <c r="F258" s="27">
        <v>3</v>
      </c>
      <c r="G258" s="28">
        <v>196.97</v>
      </c>
      <c r="H258" s="28">
        <v>14.6</v>
      </c>
      <c r="I258" s="28">
        <f t="shared" ref="I258:I261" si="97">G258+H258</f>
        <v>211.57</v>
      </c>
      <c r="J258" s="28">
        <f t="shared" ref="J258:J261" si="98">G258*F258</f>
        <v>590.91</v>
      </c>
      <c r="K258" s="28">
        <f t="shared" ref="K258:K261" si="99">H258*F258</f>
        <v>43.8</v>
      </c>
      <c r="L258" s="28">
        <f t="shared" ref="L258:L261" si="100">J258+K258</f>
        <v>634.70999999999992</v>
      </c>
      <c r="M258" s="28">
        <f t="shared" ref="M258:M261" si="101">ROUND(L258*(1+$M$4),2)</f>
        <v>811.6</v>
      </c>
      <c r="N258" s="1"/>
    </row>
    <row r="259" spans="1:14" ht="12.75" customHeight="1" x14ac:dyDescent="0.2">
      <c r="A259" s="23" t="s">
        <v>818</v>
      </c>
      <c r="B259" s="24" t="s">
        <v>819</v>
      </c>
      <c r="C259" s="23" t="s">
        <v>820</v>
      </c>
      <c r="D259" s="25" t="s">
        <v>821</v>
      </c>
      <c r="E259" s="26" t="s">
        <v>76</v>
      </c>
      <c r="F259" s="27">
        <v>3</v>
      </c>
      <c r="G259" s="28">
        <v>173.22</v>
      </c>
      <c r="H259" s="28">
        <v>14.6</v>
      </c>
      <c r="I259" s="28">
        <f t="shared" si="97"/>
        <v>187.82</v>
      </c>
      <c r="J259" s="28">
        <f t="shared" si="98"/>
        <v>519.66</v>
      </c>
      <c r="K259" s="28">
        <f t="shared" si="99"/>
        <v>43.8</v>
      </c>
      <c r="L259" s="28">
        <f t="shared" si="100"/>
        <v>563.45999999999992</v>
      </c>
      <c r="M259" s="28">
        <f t="shared" si="101"/>
        <v>720.5</v>
      </c>
      <c r="N259" s="1"/>
    </row>
    <row r="260" spans="1:14" ht="12.75" customHeight="1" x14ac:dyDescent="0.2">
      <c r="A260" s="23" t="s">
        <v>822</v>
      </c>
      <c r="B260" s="24" t="s">
        <v>823</v>
      </c>
      <c r="C260" s="23" t="s">
        <v>824</v>
      </c>
      <c r="D260" s="25" t="s">
        <v>825</v>
      </c>
      <c r="E260" s="26" t="s">
        <v>76</v>
      </c>
      <c r="F260" s="27">
        <v>13</v>
      </c>
      <c r="G260" s="28">
        <v>13.88</v>
      </c>
      <c r="H260" s="28">
        <v>0</v>
      </c>
      <c r="I260" s="28">
        <f t="shared" si="97"/>
        <v>13.88</v>
      </c>
      <c r="J260" s="28">
        <f t="shared" si="98"/>
        <v>180.44</v>
      </c>
      <c r="K260" s="28">
        <f t="shared" si="99"/>
        <v>0</v>
      </c>
      <c r="L260" s="28">
        <f t="shared" si="100"/>
        <v>180.44</v>
      </c>
      <c r="M260" s="28">
        <f t="shared" si="101"/>
        <v>230.73</v>
      </c>
      <c r="N260" s="1"/>
    </row>
    <row r="261" spans="1:14" ht="12.75" customHeight="1" x14ac:dyDescent="0.2">
      <c r="A261" s="23" t="s">
        <v>826</v>
      </c>
      <c r="B261" s="24" t="s">
        <v>827</v>
      </c>
      <c r="C261" s="23" t="s">
        <v>828</v>
      </c>
      <c r="D261" s="25" t="s">
        <v>829</v>
      </c>
      <c r="E261" s="26" t="s">
        <v>76</v>
      </c>
      <c r="F261" s="27">
        <v>9</v>
      </c>
      <c r="G261" s="28">
        <v>22.85</v>
      </c>
      <c r="H261" s="28">
        <v>4.3899999999999997</v>
      </c>
      <c r="I261" s="28">
        <f t="shared" si="97"/>
        <v>27.240000000000002</v>
      </c>
      <c r="J261" s="28">
        <f t="shared" si="98"/>
        <v>205.65</v>
      </c>
      <c r="K261" s="28">
        <f t="shared" si="99"/>
        <v>39.51</v>
      </c>
      <c r="L261" s="28">
        <f t="shared" si="100"/>
        <v>245.16</v>
      </c>
      <c r="M261" s="28">
        <f t="shared" si="101"/>
        <v>313.49</v>
      </c>
      <c r="N261" s="1"/>
    </row>
    <row r="262" spans="1:14" ht="12.75" customHeight="1" x14ac:dyDescent="0.2">
      <c r="B262" s="71"/>
      <c r="N262" s="1"/>
    </row>
    <row r="263" spans="1:14" ht="12.75" customHeight="1" x14ac:dyDescent="0.2">
      <c r="A263" s="29" t="s">
        <v>830</v>
      </c>
      <c r="B263" s="239" t="s">
        <v>831</v>
      </c>
      <c r="C263" s="240"/>
      <c r="D263" s="47"/>
      <c r="E263" s="48"/>
      <c r="F263" s="49"/>
      <c r="G263" s="33"/>
      <c r="H263" s="33"/>
      <c r="I263" s="33"/>
      <c r="J263" s="33">
        <f t="shared" ref="J263:M263" si="102">SUM(J264:J272)</f>
        <v>35859.868500000004</v>
      </c>
      <c r="K263" s="33">
        <f t="shared" si="102"/>
        <v>5832.1825000000008</v>
      </c>
      <c r="L263" s="33">
        <f t="shared" si="102"/>
        <v>41692.050999999999</v>
      </c>
      <c r="M263" s="33">
        <f t="shared" si="102"/>
        <v>53311.64</v>
      </c>
      <c r="N263" s="22">
        <f>M263</f>
        <v>53311.64</v>
      </c>
    </row>
    <row r="264" spans="1:14" ht="12.75" customHeight="1" x14ac:dyDescent="0.2">
      <c r="A264" s="23" t="s">
        <v>832</v>
      </c>
      <c r="B264" s="24" t="s">
        <v>833</v>
      </c>
      <c r="C264" s="23" t="s">
        <v>834</v>
      </c>
      <c r="D264" s="25" t="s">
        <v>835</v>
      </c>
      <c r="E264" s="26" t="s">
        <v>30</v>
      </c>
      <c r="F264" s="27">
        <v>27</v>
      </c>
      <c r="G264" s="28">
        <v>305.97000000000003</v>
      </c>
      <c r="H264" s="28">
        <v>20.74</v>
      </c>
      <c r="I264" s="28">
        <f t="shared" ref="I264:I272" si="103">G264+H264</f>
        <v>326.71000000000004</v>
      </c>
      <c r="J264" s="28">
        <f t="shared" ref="J264:J272" si="104">G264*F264</f>
        <v>8261.19</v>
      </c>
      <c r="K264" s="28">
        <f t="shared" ref="K264:K272" si="105">H264*F264</f>
        <v>559.9799999999999</v>
      </c>
      <c r="L264" s="28">
        <f t="shared" ref="L264:L272" si="106">J264+K264</f>
        <v>8821.17</v>
      </c>
      <c r="M264" s="28">
        <f t="shared" ref="M264:M272" si="107">ROUND(L264*(1+$M$4),2)</f>
        <v>11279.63</v>
      </c>
      <c r="N264" s="1"/>
    </row>
    <row r="265" spans="1:14" ht="12.75" customHeight="1" x14ac:dyDescent="0.2">
      <c r="A265" s="23" t="s">
        <v>836</v>
      </c>
      <c r="B265" s="24" t="s">
        <v>837</v>
      </c>
      <c r="C265" s="23" t="s">
        <v>838</v>
      </c>
      <c r="D265" s="25" t="s">
        <v>839</v>
      </c>
      <c r="E265" s="26" t="s">
        <v>30</v>
      </c>
      <c r="F265" s="27">
        <v>32</v>
      </c>
      <c r="G265" s="28">
        <v>72.05</v>
      </c>
      <c r="H265" s="28">
        <v>4.1399999999999997</v>
      </c>
      <c r="I265" s="28">
        <f t="shared" si="103"/>
        <v>76.19</v>
      </c>
      <c r="J265" s="28">
        <f t="shared" si="104"/>
        <v>2305.6</v>
      </c>
      <c r="K265" s="28">
        <f t="shared" si="105"/>
        <v>132.47999999999999</v>
      </c>
      <c r="L265" s="28">
        <f t="shared" si="106"/>
        <v>2438.08</v>
      </c>
      <c r="M265" s="28">
        <f t="shared" si="107"/>
        <v>3117.57</v>
      </c>
      <c r="N265" s="1"/>
    </row>
    <row r="266" spans="1:14" ht="12.75" customHeight="1" x14ac:dyDescent="0.2">
      <c r="A266" s="23" t="s">
        <v>840</v>
      </c>
      <c r="B266" s="24" t="s">
        <v>841</v>
      </c>
      <c r="C266" s="23" t="s">
        <v>842</v>
      </c>
      <c r="D266" s="25" t="s">
        <v>843</v>
      </c>
      <c r="E266" s="26" t="s">
        <v>30</v>
      </c>
      <c r="F266" s="27">
        <v>127</v>
      </c>
      <c r="G266" s="28">
        <v>43.91</v>
      </c>
      <c r="H266" s="28">
        <v>11.55</v>
      </c>
      <c r="I266" s="28">
        <f t="shared" si="103"/>
        <v>55.459999999999994</v>
      </c>
      <c r="J266" s="28">
        <f t="shared" si="104"/>
        <v>5576.57</v>
      </c>
      <c r="K266" s="28">
        <f t="shared" si="105"/>
        <v>1466.8500000000001</v>
      </c>
      <c r="L266" s="28">
        <f t="shared" si="106"/>
        <v>7043.42</v>
      </c>
      <c r="M266" s="28">
        <f t="shared" si="107"/>
        <v>9006.42</v>
      </c>
      <c r="N266" s="1"/>
    </row>
    <row r="267" spans="1:14" ht="12.75" customHeight="1" x14ac:dyDescent="0.2">
      <c r="A267" s="23" t="s">
        <v>844</v>
      </c>
      <c r="B267" s="24" t="s">
        <v>845</v>
      </c>
      <c r="C267" s="23" t="s">
        <v>842</v>
      </c>
      <c r="D267" s="25" t="s">
        <v>843</v>
      </c>
      <c r="E267" s="26" t="s">
        <v>30</v>
      </c>
      <c r="F267" s="27">
        <v>125.5</v>
      </c>
      <c r="G267" s="28">
        <v>43.91</v>
      </c>
      <c r="H267" s="28">
        <v>11.55</v>
      </c>
      <c r="I267" s="28">
        <f t="shared" si="103"/>
        <v>55.459999999999994</v>
      </c>
      <c r="J267" s="28">
        <f t="shared" si="104"/>
        <v>5510.7049999999999</v>
      </c>
      <c r="K267" s="28">
        <f t="shared" si="105"/>
        <v>1449.5250000000001</v>
      </c>
      <c r="L267" s="28">
        <f t="shared" si="106"/>
        <v>6960.23</v>
      </c>
      <c r="M267" s="28">
        <f t="shared" si="107"/>
        <v>8900.0499999999993</v>
      </c>
      <c r="N267" s="1"/>
    </row>
    <row r="268" spans="1:14" ht="12.75" customHeight="1" x14ac:dyDescent="0.2">
      <c r="A268" s="23" t="s">
        <v>846</v>
      </c>
      <c r="B268" s="24" t="s">
        <v>847</v>
      </c>
      <c r="C268" s="23" t="s">
        <v>848</v>
      </c>
      <c r="D268" s="25" t="s">
        <v>849</v>
      </c>
      <c r="E268" s="26" t="s">
        <v>30</v>
      </c>
      <c r="F268" s="27">
        <v>19.5</v>
      </c>
      <c r="G268" s="28">
        <v>43.91</v>
      </c>
      <c r="H268" s="28">
        <v>11.55</v>
      </c>
      <c r="I268" s="28">
        <f t="shared" si="103"/>
        <v>55.459999999999994</v>
      </c>
      <c r="J268" s="28">
        <f t="shared" si="104"/>
        <v>856.24499999999989</v>
      </c>
      <c r="K268" s="28">
        <f t="shared" si="105"/>
        <v>225.22500000000002</v>
      </c>
      <c r="L268" s="28">
        <f t="shared" si="106"/>
        <v>1081.4699999999998</v>
      </c>
      <c r="M268" s="28">
        <f t="shared" si="107"/>
        <v>1382.88</v>
      </c>
      <c r="N268" s="1"/>
    </row>
    <row r="269" spans="1:14" ht="12.75" customHeight="1" x14ac:dyDescent="0.2">
      <c r="A269" s="23" t="s">
        <v>850</v>
      </c>
      <c r="B269" s="24" t="s">
        <v>851</v>
      </c>
      <c r="C269" s="23" t="s">
        <v>852</v>
      </c>
      <c r="D269" s="25" t="s">
        <v>853</v>
      </c>
      <c r="E269" s="26" t="s">
        <v>14</v>
      </c>
      <c r="F269" s="27">
        <v>5</v>
      </c>
      <c r="G269" s="28">
        <v>181.82</v>
      </c>
      <c r="H269" s="28">
        <v>101.09</v>
      </c>
      <c r="I269" s="28">
        <f t="shared" si="103"/>
        <v>282.90999999999997</v>
      </c>
      <c r="J269" s="28">
        <f t="shared" si="104"/>
        <v>909.09999999999991</v>
      </c>
      <c r="K269" s="28">
        <f t="shared" si="105"/>
        <v>505.45000000000005</v>
      </c>
      <c r="L269" s="28">
        <f t="shared" si="106"/>
        <v>1414.55</v>
      </c>
      <c r="M269" s="28">
        <f t="shared" si="107"/>
        <v>1808.79</v>
      </c>
      <c r="N269" s="1"/>
    </row>
    <row r="270" spans="1:14" ht="12.75" customHeight="1" x14ac:dyDescent="0.2">
      <c r="A270" s="23" t="s">
        <v>854</v>
      </c>
      <c r="B270" s="24" t="s">
        <v>855</v>
      </c>
      <c r="C270" s="23" t="s">
        <v>856</v>
      </c>
      <c r="D270" s="25" t="s">
        <v>857</v>
      </c>
      <c r="E270" s="26" t="s">
        <v>14</v>
      </c>
      <c r="F270" s="27">
        <v>1</v>
      </c>
      <c r="G270" s="28">
        <v>9702.1934999999994</v>
      </c>
      <c r="H270" s="28">
        <v>1294.2764999999999</v>
      </c>
      <c r="I270" s="28">
        <f t="shared" si="103"/>
        <v>10996.47</v>
      </c>
      <c r="J270" s="28">
        <f t="shared" si="104"/>
        <v>9702.1934999999994</v>
      </c>
      <c r="K270" s="28">
        <f t="shared" si="105"/>
        <v>1294.2764999999999</v>
      </c>
      <c r="L270" s="28">
        <f t="shared" si="106"/>
        <v>10996.47</v>
      </c>
      <c r="M270" s="28">
        <f t="shared" si="107"/>
        <v>14061.19</v>
      </c>
      <c r="N270" s="1"/>
    </row>
    <row r="271" spans="1:14" ht="12.75" customHeight="1" x14ac:dyDescent="0.2">
      <c r="A271" s="23" t="s">
        <v>858</v>
      </c>
      <c r="B271" s="24" t="s">
        <v>859</v>
      </c>
      <c r="C271" s="23" t="s">
        <v>860</v>
      </c>
      <c r="D271" s="25" t="s">
        <v>861</v>
      </c>
      <c r="E271" s="26" t="s">
        <v>171</v>
      </c>
      <c r="F271" s="27">
        <v>4.5</v>
      </c>
      <c r="G271" s="28">
        <v>119.73</v>
      </c>
      <c r="H271" s="28">
        <v>37.159999999999997</v>
      </c>
      <c r="I271" s="28">
        <f t="shared" si="103"/>
        <v>156.88999999999999</v>
      </c>
      <c r="J271" s="28">
        <f t="shared" si="104"/>
        <v>538.78499999999997</v>
      </c>
      <c r="K271" s="28">
        <f t="shared" si="105"/>
        <v>167.21999999999997</v>
      </c>
      <c r="L271" s="28">
        <f t="shared" si="106"/>
        <v>706.00499999999988</v>
      </c>
      <c r="M271" s="28">
        <f t="shared" si="107"/>
        <v>902.77</v>
      </c>
      <c r="N271" s="1"/>
    </row>
    <row r="272" spans="1:14" ht="12.75" customHeight="1" x14ac:dyDescent="0.2">
      <c r="A272" s="23" t="s">
        <v>862</v>
      </c>
      <c r="B272" s="24" t="s">
        <v>863</v>
      </c>
      <c r="C272" s="23" t="s">
        <v>864</v>
      </c>
      <c r="D272" s="25" t="s">
        <v>865</v>
      </c>
      <c r="E272" s="26" t="s">
        <v>30</v>
      </c>
      <c r="F272" s="27">
        <v>2.4</v>
      </c>
      <c r="G272" s="28">
        <v>916.45</v>
      </c>
      <c r="H272" s="28">
        <v>12.99</v>
      </c>
      <c r="I272" s="28">
        <f t="shared" si="103"/>
        <v>929.44</v>
      </c>
      <c r="J272" s="28">
        <f t="shared" si="104"/>
        <v>2199.48</v>
      </c>
      <c r="K272" s="28">
        <f t="shared" si="105"/>
        <v>31.175999999999998</v>
      </c>
      <c r="L272" s="28">
        <f t="shared" si="106"/>
        <v>2230.6559999999999</v>
      </c>
      <c r="M272" s="28">
        <f t="shared" si="107"/>
        <v>2852.34</v>
      </c>
      <c r="N272" s="1"/>
    </row>
    <row r="273" spans="1:15" ht="12.75" customHeight="1" x14ac:dyDescent="0.2">
      <c r="A273" s="72"/>
      <c r="B273" s="73"/>
      <c r="C273" s="72"/>
      <c r="D273" s="74"/>
      <c r="E273" s="75"/>
      <c r="F273" s="76"/>
      <c r="G273" s="77"/>
      <c r="H273" s="77"/>
      <c r="I273" s="77"/>
      <c r="J273" s="77"/>
      <c r="K273" s="77"/>
      <c r="L273" s="77"/>
      <c r="M273" s="77"/>
      <c r="N273" s="1"/>
    </row>
    <row r="274" spans="1:15" ht="13.5" customHeight="1" x14ac:dyDescent="0.25">
      <c r="A274" s="78" t="s">
        <v>866</v>
      </c>
      <c r="B274" s="241" t="s">
        <v>867</v>
      </c>
      <c r="C274" s="240"/>
      <c r="D274" s="79"/>
      <c r="E274" s="79"/>
      <c r="F274" s="80"/>
      <c r="G274" s="81"/>
      <c r="H274" s="81"/>
      <c r="I274" s="81"/>
      <c r="J274" s="81">
        <f t="shared" ref="J274:M274" si="108">SUM(J275:J280)</f>
        <v>18109.641000000003</v>
      </c>
      <c r="K274" s="81">
        <f t="shared" si="108"/>
        <v>1532.8795</v>
      </c>
      <c r="L274" s="81">
        <f t="shared" si="108"/>
        <v>19642.520500000002</v>
      </c>
      <c r="M274" s="81">
        <f t="shared" si="108"/>
        <v>25116.89</v>
      </c>
      <c r="N274" s="22">
        <f>M274</f>
        <v>25116.89</v>
      </c>
    </row>
    <row r="275" spans="1:15" ht="12.75" customHeight="1" x14ac:dyDescent="0.2">
      <c r="A275" s="23" t="s">
        <v>868</v>
      </c>
      <c r="B275" s="82" t="s">
        <v>869</v>
      </c>
      <c r="C275" s="83" t="s">
        <v>870</v>
      </c>
      <c r="D275" s="84" t="s">
        <v>871</v>
      </c>
      <c r="E275" s="85" t="s">
        <v>30</v>
      </c>
      <c r="F275" s="86">
        <f>2.4*25</f>
        <v>60</v>
      </c>
      <c r="G275" s="87">
        <v>1.02</v>
      </c>
      <c r="H275" s="87">
        <v>2.08</v>
      </c>
      <c r="I275" s="28">
        <f t="shared" ref="I275:I280" si="109">G275+H275</f>
        <v>3.1</v>
      </c>
      <c r="J275" s="28">
        <f t="shared" ref="J275:J280" si="110">G275*F275</f>
        <v>61.2</v>
      </c>
      <c r="K275" s="28">
        <f t="shared" ref="K275:K280" si="111">H275*F275</f>
        <v>124.80000000000001</v>
      </c>
      <c r="L275" s="28">
        <f t="shared" ref="L275:L280" si="112">J275+K275</f>
        <v>186</v>
      </c>
      <c r="M275" s="28">
        <f t="shared" ref="M275:M280" si="113">ROUND(L275*(1+$M$4),2)</f>
        <v>237.84</v>
      </c>
      <c r="N275" s="1"/>
    </row>
    <row r="276" spans="1:15" ht="12.75" customHeight="1" x14ac:dyDescent="0.2">
      <c r="A276" s="23" t="s">
        <v>872</v>
      </c>
      <c r="B276" s="24" t="s">
        <v>873</v>
      </c>
      <c r="C276" s="23" t="s">
        <v>165</v>
      </c>
      <c r="D276" s="25" t="s">
        <v>166</v>
      </c>
      <c r="E276" s="26" t="s">
        <v>158</v>
      </c>
      <c r="F276" s="27">
        <f>0.05*2.4*25</f>
        <v>3</v>
      </c>
      <c r="G276" s="28">
        <v>467.09</v>
      </c>
      <c r="H276" s="28">
        <v>202.83</v>
      </c>
      <c r="I276" s="28">
        <f t="shared" si="109"/>
        <v>669.92</v>
      </c>
      <c r="J276" s="28">
        <f t="shared" si="110"/>
        <v>1401.27</v>
      </c>
      <c r="K276" s="28">
        <f t="shared" si="111"/>
        <v>608.49</v>
      </c>
      <c r="L276" s="28">
        <f t="shared" si="112"/>
        <v>2009.76</v>
      </c>
      <c r="M276" s="28">
        <f t="shared" si="113"/>
        <v>2569.88</v>
      </c>
      <c r="N276" s="1"/>
    </row>
    <row r="277" spans="1:15" ht="12.75" customHeight="1" x14ac:dyDescent="0.2">
      <c r="A277" s="23" t="s">
        <v>874</v>
      </c>
      <c r="B277" s="24" t="s">
        <v>875</v>
      </c>
      <c r="C277" s="23">
        <v>94971</v>
      </c>
      <c r="D277" s="25" t="s">
        <v>759</v>
      </c>
      <c r="E277" s="26" t="s">
        <v>158</v>
      </c>
      <c r="F277" s="27">
        <f>20*1*0.15*0.15</f>
        <v>0.44999999999999996</v>
      </c>
      <c r="G277" s="28">
        <v>330.98</v>
      </c>
      <c r="H277" s="28">
        <v>43.31</v>
      </c>
      <c r="I277" s="28">
        <f t="shared" si="109"/>
        <v>374.29</v>
      </c>
      <c r="J277" s="28">
        <f t="shared" si="110"/>
        <v>148.941</v>
      </c>
      <c r="K277" s="28">
        <f t="shared" si="111"/>
        <v>19.4895</v>
      </c>
      <c r="L277" s="28">
        <f t="shared" si="112"/>
        <v>168.43049999999999</v>
      </c>
      <c r="M277" s="28">
        <f t="shared" si="113"/>
        <v>215.37</v>
      </c>
      <c r="N277" s="1"/>
    </row>
    <row r="278" spans="1:15" ht="12.75" customHeight="1" x14ac:dyDescent="0.2">
      <c r="A278" s="23" t="s">
        <v>876</v>
      </c>
      <c r="B278" s="24" t="s">
        <v>877</v>
      </c>
      <c r="C278" s="40" t="s">
        <v>878</v>
      </c>
      <c r="D278" s="25" t="s">
        <v>879</v>
      </c>
      <c r="E278" s="26" t="s">
        <v>764</v>
      </c>
      <c r="F278" s="27">
        <f>ROUNDUP(((3.2*20*3.65)+(94*3.1))*1.05,0)</f>
        <v>552</v>
      </c>
      <c r="G278" s="28">
        <v>20.440000000000001</v>
      </c>
      <c r="H278" s="28">
        <v>1</v>
      </c>
      <c r="I278" s="28">
        <f t="shared" si="109"/>
        <v>21.44</v>
      </c>
      <c r="J278" s="28">
        <f t="shared" si="110"/>
        <v>11282.880000000001</v>
      </c>
      <c r="K278" s="28">
        <f t="shared" si="111"/>
        <v>552</v>
      </c>
      <c r="L278" s="28">
        <f t="shared" si="112"/>
        <v>11834.880000000001</v>
      </c>
      <c r="M278" s="28">
        <f t="shared" si="113"/>
        <v>15133.26</v>
      </c>
      <c r="N278" s="1"/>
    </row>
    <row r="279" spans="1:15" ht="12.75" customHeight="1" x14ac:dyDescent="0.2">
      <c r="A279" s="23" t="s">
        <v>880</v>
      </c>
      <c r="B279" s="24" t="s">
        <v>801</v>
      </c>
      <c r="C279" s="23" t="s">
        <v>881</v>
      </c>
      <c r="D279" s="25" t="s">
        <v>882</v>
      </c>
      <c r="E279" s="26" t="s">
        <v>30</v>
      </c>
      <c r="F279" s="27">
        <f>2.2*25</f>
        <v>55.000000000000007</v>
      </c>
      <c r="G279" s="28">
        <v>85.29</v>
      </c>
      <c r="H279" s="28">
        <v>2.86</v>
      </c>
      <c r="I279" s="28">
        <f t="shared" si="109"/>
        <v>88.15</v>
      </c>
      <c r="J279" s="28">
        <f t="shared" si="110"/>
        <v>4690.9500000000007</v>
      </c>
      <c r="K279" s="28">
        <f t="shared" si="111"/>
        <v>157.30000000000001</v>
      </c>
      <c r="L279" s="28">
        <f t="shared" si="112"/>
        <v>4848.2500000000009</v>
      </c>
      <c r="M279" s="28">
        <f t="shared" si="113"/>
        <v>6199.46</v>
      </c>
      <c r="N279" s="1"/>
    </row>
    <row r="280" spans="1:15" ht="12.75" customHeight="1" x14ac:dyDescent="0.2">
      <c r="A280" s="23" t="s">
        <v>883</v>
      </c>
      <c r="B280" s="24" t="s">
        <v>884</v>
      </c>
      <c r="C280" s="23">
        <v>100723</v>
      </c>
      <c r="D280" s="25" t="s">
        <v>723</v>
      </c>
      <c r="E280" s="26" t="s">
        <v>30</v>
      </c>
      <c r="F280" s="27">
        <v>60</v>
      </c>
      <c r="G280" s="28">
        <v>8.74</v>
      </c>
      <c r="H280" s="28">
        <v>1.18</v>
      </c>
      <c r="I280" s="28">
        <f t="shared" si="109"/>
        <v>9.92</v>
      </c>
      <c r="J280" s="28">
        <f t="shared" si="110"/>
        <v>524.4</v>
      </c>
      <c r="K280" s="28">
        <f t="shared" si="111"/>
        <v>70.8</v>
      </c>
      <c r="L280" s="28">
        <f t="shared" si="112"/>
        <v>595.19999999999993</v>
      </c>
      <c r="M280" s="28">
        <f t="shared" si="113"/>
        <v>761.08</v>
      </c>
      <c r="N280" s="1"/>
    </row>
    <row r="281" spans="1:15" ht="12.75" customHeight="1" x14ac:dyDescent="0.25">
      <c r="A281" s="64"/>
      <c r="B281" s="88"/>
      <c r="C281" s="64"/>
      <c r="D281" s="67"/>
      <c r="E281" s="68"/>
      <c r="F281" s="89"/>
      <c r="G281" s="90"/>
      <c r="H281" s="90"/>
      <c r="I281" s="90"/>
      <c r="J281" s="90"/>
      <c r="K281" s="90"/>
      <c r="L281" s="90"/>
      <c r="M281" s="90"/>
      <c r="N281" s="1"/>
    </row>
    <row r="282" spans="1:15" ht="12.75" customHeight="1" x14ac:dyDescent="0.2">
      <c r="A282" s="29" t="s">
        <v>885</v>
      </c>
      <c r="B282" s="239" t="s">
        <v>886</v>
      </c>
      <c r="C282" s="240"/>
      <c r="D282" s="47"/>
      <c r="E282" s="48"/>
      <c r="F282" s="49"/>
      <c r="G282" s="33"/>
      <c r="H282" s="33"/>
      <c r="I282" s="33"/>
      <c r="J282" s="33">
        <f t="shared" ref="J282:M282" si="114">SUM(J283:J285)</f>
        <v>1418.6</v>
      </c>
      <c r="K282" s="33">
        <f t="shared" si="114"/>
        <v>1534</v>
      </c>
      <c r="L282" s="33">
        <f t="shared" si="114"/>
        <v>2952.6</v>
      </c>
      <c r="M282" s="33">
        <f t="shared" si="114"/>
        <v>3775.49</v>
      </c>
      <c r="N282" s="22">
        <f>M282</f>
        <v>3775.49</v>
      </c>
    </row>
    <row r="283" spans="1:15" ht="12.75" customHeight="1" x14ac:dyDescent="0.2">
      <c r="A283" s="23" t="s">
        <v>887</v>
      </c>
      <c r="B283" s="24" t="s">
        <v>888</v>
      </c>
      <c r="C283" s="40" t="s">
        <v>889</v>
      </c>
      <c r="D283" s="25" t="s">
        <v>890</v>
      </c>
      <c r="E283" s="26" t="s">
        <v>14</v>
      </c>
      <c r="F283" s="27">
        <v>20</v>
      </c>
      <c r="G283" s="28">
        <v>42.68</v>
      </c>
      <c r="H283" s="28">
        <v>0</v>
      </c>
      <c r="I283" s="28">
        <f t="shared" ref="I283:I284" si="115">G283+H283</f>
        <v>42.68</v>
      </c>
      <c r="J283" s="28">
        <f t="shared" ref="J283:J285" si="116">G283*F283</f>
        <v>853.6</v>
      </c>
      <c r="K283" s="28">
        <f t="shared" ref="K283:K285" si="117">H283*F283</f>
        <v>0</v>
      </c>
      <c r="L283" s="28">
        <f t="shared" ref="L283:L285" si="118">J283+K283</f>
        <v>853.6</v>
      </c>
      <c r="M283" s="28">
        <f t="shared" ref="M283:M285" si="119">ROUND(L283*(1+$M$4),2)</f>
        <v>1091.5</v>
      </c>
      <c r="N283" s="1"/>
    </row>
    <row r="284" spans="1:15" ht="12.75" customHeight="1" x14ac:dyDescent="0.2">
      <c r="A284" s="23" t="s">
        <v>891</v>
      </c>
      <c r="B284" s="24" t="s">
        <v>892</v>
      </c>
      <c r="C284" s="40" t="s">
        <v>893</v>
      </c>
      <c r="D284" s="25" t="s">
        <v>894</v>
      </c>
      <c r="E284" s="26" t="s">
        <v>30</v>
      </c>
      <c r="F284" s="27">
        <v>700</v>
      </c>
      <c r="G284" s="28">
        <v>0.6</v>
      </c>
      <c r="H284" s="28">
        <v>1.31</v>
      </c>
      <c r="I284" s="28">
        <f t="shared" si="115"/>
        <v>1.9100000000000001</v>
      </c>
      <c r="J284" s="28">
        <f t="shared" si="116"/>
        <v>420</v>
      </c>
      <c r="K284" s="28">
        <f t="shared" si="117"/>
        <v>917</v>
      </c>
      <c r="L284" s="28">
        <f t="shared" si="118"/>
        <v>1337</v>
      </c>
      <c r="M284" s="28">
        <f t="shared" si="119"/>
        <v>1709.62</v>
      </c>
      <c r="N284" s="1"/>
    </row>
    <row r="285" spans="1:15" ht="12.75" customHeight="1" x14ac:dyDescent="0.2">
      <c r="A285" s="23" t="s">
        <v>895</v>
      </c>
      <c r="B285" s="24" t="s">
        <v>896</v>
      </c>
      <c r="C285" s="40" t="s">
        <v>897</v>
      </c>
      <c r="D285" s="25" t="s">
        <v>898</v>
      </c>
      <c r="E285" s="26" t="s">
        <v>158</v>
      </c>
      <c r="F285" s="27">
        <v>50</v>
      </c>
      <c r="G285" s="28">
        <v>2.9</v>
      </c>
      <c r="H285" s="28">
        <v>12.34</v>
      </c>
      <c r="I285" s="28">
        <f>SUM(G285:H285)</f>
        <v>15.24</v>
      </c>
      <c r="J285" s="28">
        <f t="shared" si="116"/>
        <v>145</v>
      </c>
      <c r="K285" s="28">
        <f t="shared" si="117"/>
        <v>617</v>
      </c>
      <c r="L285" s="28">
        <f t="shared" si="118"/>
        <v>762</v>
      </c>
      <c r="M285" s="28">
        <f t="shared" si="119"/>
        <v>974.37</v>
      </c>
      <c r="N285" s="1"/>
    </row>
    <row r="286" spans="1:15" ht="12.75" customHeight="1" x14ac:dyDescent="0.2">
      <c r="B286" s="71"/>
      <c r="N286" s="1"/>
    </row>
    <row r="287" spans="1:15" ht="12.75" customHeight="1" x14ac:dyDescent="0.2">
      <c r="A287" s="13"/>
      <c r="B287" s="242" t="s">
        <v>899</v>
      </c>
      <c r="C287" s="243"/>
      <c r="D287" s="244"/>
      <c r="E287" s="14"/>
      <c r="F287" s="15"/>
      <c r="G287" s="16"/>
      <c r="H287" s="16"/>
      <c r="I287" s="16"/>
      <c r="J287" s="16"/>
      <c r="K287" s="16"/>
      <c r="L287" s="16"/>
      <c r="M287" s="16"/>
      <c r="N287" s="91"/>
      <c r="O287" s="92"/>
    </row>
    <row r="288" spans="1:15" ht="12.75" customHeight="1" x14ac:dyDescent="0.2">
      <c r="A288" s="29" t="s">
        <v>900</v>
      </c>
      <c r="B288" s="239" t="s">
        <v>41</v>
      </c>
      <c r="C288" s="240"/>
      <c r="D288" s="30"/>
      <c r="E288" s="31"/>
      <c r="F288" s="32"/>
      <c r="G288" s="33"/>
      <c r="H288" s="33"/>
      <c r="I288" s="33"/>
      <c r="J288" s="33">
        <f t="shared" ref="J288:M288" si="120">SUM(J289:J298)</f>
        <v>959.8895</v>
      </c>
      <c r="K288" s="33">
        <f t="shared" si="120"/>
        <v>2103.6534999999999</v>
      </c>
      <c r="L288" s="33">
        <f t="shared" si="120"/>
        <v>3063.5430000000001</v>
      </c>
      <c r="M288" s="33">
        <f t="shared" si="120"/>
        <v>3917.3500000000004</v>
      </c>
      <c r="N288" s="93">
        <f>M288</f>
        <v>3917.3500000000004</v>
      </c>
      <c r="O288" s="94"/>
    </row>
    <row r="289" spans="1:15" ht="12.75" customHeight="1" x14ac:dyDescent="0.2">
      <c r="A289" s="34" t="s">
        <v>868</v>
      </c>
      <c r="B289" s="35" t="s">
        <v>43</v>
      </c>
      <c r="C289" s="95" t="s">
        <v>44</v>
      </c>
      <c r="D289" s="36" t="s">
        <v>45</v>
      </c>
      <c r="E289" s="37" t="s">
        <v>46</v>
      </c>
      <c r="F289" s="38">
        <v>10.75</v>
      </c>
      <c r="G289" s="39">
        <v>2.5099999999999998</v>
      </c>
      <c r="H289" s="39">
        <v>5.93</v>
      </c>
      <c r="I289" s="39">
        <f t="shared" ref="I289:I298" si="121">SUM(G289:H289)</f>
        <v>8.44</v>
      </c>
      <c r="J289" s="39">
        <f t="shared" ref="J289:J298" si="122">G289*F289</f>
        <v>26.982499999999998</v>
      </c>
      <c r="K289" s="39">
        <f t="shared" ref="K289:K298" si="123">H289*F289</f>
        <v>63.747499999999995</v>
      </c>
      <c r="L289" s="39">
        <f t="shared" ref="L289:L298" si="124">I289*F289</f>
        <v>90.72999999999999</v>
      </c>
      <c r="M289" s="39">
        <f t="shared" ref="M289:M298" si="125">ROUND(L289*(1+$M$4),2)</f>
        <v>116.02</v>
      </c>
      <c r="N289" s="96"/>
      <c r="O289" s="97"/>
    </row>
    <row r="290" spans="1:15" ht="12.75" customHeight="1" x14ac:dyDescent="0.2">
      <c r="A290" s="34" t="s">
        <v>872</v>
      </c>
      <c r="B290" s="35" t="s">
        <v>48</v>
      </c>
      <c r="C290" s="95" t="s">
        <v>49</v>
      </c>
      <c r="D290" s="36" t="s">
        <v>50</v>
      </c>
      <c r="E290" s="37" t="s">
        <v>46</v>
      </c>
      <c r="F290" s="38">
        <v>5.3</v>
      </c>
      <c r="G290" s="39">
        <v>15.65</v>
      </c>
      <c r="H290" s="39">
        <v>16.350000000000001</v>
      </c>
      <c r="I290" s="39">
        <f t="shared" si="121"/>
        <v>32</v>
      </c>
      <c r="J290" s="39">
        <f t="shared" si="122"/>
        <v>82.944999999999993</v>
      </c>
      <c r="K290" s="39">
        <f t="shared" si="123"/>
        <v>86.655000000000001</v>
      </c>
      <c r="L290" s="39">
        <f t="shared" si="124"/>
        <v>169.6</v>
      </c>
      <c r="M290" s="39">
        <f t="shared" si="125"/>
        <v>216.87</v>
      </c>
      <c r="N290" s="96"/>
      <c r="O290" s="97"/>
    </row>
    <row r="291" spans="1:15" ht="12.75" customHeight="1" x14ac:dyDescent="0.2">
      <c r="A291" s="34" t="s">
        <v>874</v>
      </c>
      <c r="B291" s="35" t="s">
        <v>901</v>
      </c>
      <c r="C291" s="95" t="s">
        <v>902</v>
      </c>
      <c r="D291" s="36" t="s">
        <v>903</v>
      </c>
      <c r="E291" s="37" t="s">
        <v>46</v>
      </c>
      <c r="F291" s="38">
        <v>110.5</v>
      </c>
      <c r="G291" s="39">
        <v>0.43</v>
      </c>
      <c r="H291" s="39">
        <v>1.1599999999999999</v>
      </c>
      <c r="I291" s="39">
        <f t="shared" si="121"/>
        <v>1.5899999999999999</v>
      </c>
      <c r="J291" s="39">
        <f t="shared" si="122"/>
        <v>47.515000000000001</v>
      </c>
      <c r="K291" s="39">
        <f t="shared" si="123"/>
        <v>128.17999999999998</v>
      </c>
      <c r="L291" s="39">
        <f t="shared" si="124"/>
        <v>175.69499999999999</v>
      </c>
      <c r="M291" s="39">
        <f t="shared" si="125"/>
        <v>224.66</v>
      </c>
      <c r="N291" s="96"/>
      <c r="O291" s="97"/>
    </row>
    <row r="292" spans="1:15" ht="12.75" customHeight="1" x14ac:dyDescent="0.2">
      <c r="A292" s="34" t="s">
        <v>876</v>
      </c>
      <c r="B292" s="35" t="s">
        <v>904</v>
      </c>
      <c r="C292" s="95" t="s">
        <v>57</v>
      </c>
      <c r="D292" s="36" t="s">
        <v>58</v>
      </c>
      <c r="E292" s="37" t="s">
        <v>46</v>
      </c>
      <c r="F292" s="38">
        <v>110.5</v>
      </c>
      <c r="G292" s="39">
        <v>3.53</v>
      </c>
      <c r="H292" s="39">
        <v>7.79</v>
      </c>
      <c r="I292" s="39">
        <f t="shared" si="121"/>
        <v>11.32</v>
      </c>
      <c r="J292" s="39">
        <f t="shared" si="122"/>
        <v>390.065</v>
      </c>
      <c r="K292" s="39">
        <f t="shared" si="123"/>
        <v>860.79499999999996</v>
      </c>
      <c r="L292" s="39">
        <f t="shared" si="124"/>
        <v>1250.8600000000001</v>
      </c>
      <c r="M292" s="39">
        <f t="shared" si="125"/>
        <v>1599.47</v>
      </c>
      <c r="N292" s="96"/>
      <c r="O292" s="97"/>
    </row>
    <row r="293" spans="1:15" ht="12.75" customHeight="1" x14ac:dyDescent="0.2">
      <c r="A293" s="34" t="s">
        <v>880</v>
      </c>
      <c r="B293" s="35" t="s">
        <v>905</v>
      </c>
      <c r="C293" s="95" t="s">
        <v>57</v>
      </c>
      <c r="D293" s="36" t="s">
        <v>58</v>
      </c>
      <c r="E293" s="37" t="s">
        <v>46</v>
      </c>
      <c r="F293" s="38">
        <v>59.4</v>
      </c>
      <c r="G293" s="39">
        <v>3.53</v>
      </c>
      <c r="H293" s="39">
        <v>7.79</v>
      </c>
      <c r="I293" s="39">
        <f t="shared" si="121"/>
        <v>11.32</v>
      </c>
      <c r="J293" s="39">
        <f t="shared" si="122"/>
        <v>209.68199999999999</v>
      </c>
      <c r="K293" s="39">
        <f t="shared" si="123"/>
        <v>462.726</v>
      </c>
      <c r="L293" s="39">
        <f t="shared" si="124"/>
        <v>672.40800000000002</v>
      </c>
      <c r="M293" s="39">
        <f t="shared" si="125"/>
        <v>859.81</v>
      </c>
      <c r="N293" s="96"/>
      <c r="O293" s="97"/>
    </row>
    <row r="294" spans="1:15" ht="12.75" customHeight="1" x14ac:dyDescent="0.2">
      <c r="A294" s="34" t="s">
        <v>883</v>
      </c>
      <c r="B294" s="35" t="s">
        <v>60</v>
      </c>
      <c r="C294" s="95" t="s">
        <v>61</v>
      </c>
      <c r="D294" s="36" t="s">
        <v>62</v>
      </c>
      <c r="E294" s="37" t="s">
        <v>63</v>
      </c>
      <c r="F294" s="38">
        <v>2.5</v>
      </c>
      <c r="G294" s="39">
        <v>34.119999999999997</v>
      </c>
      <c r="H294" s="39">
        <v>71.94</v>
      </c>
      <c r="I294" s="39">
        <f t="shared" si="121"/>
        <v>106.06</v>
      </c>
      <c r="J294" s="39">
        <f t="shared" si="122"/>
        <v>85.3</v>
      </c>
      <c r="K294" s="39">
        <f t="shared" si="123"/>
        <v>179.85</v>
      </c>
      <c r="L294" s="39">
        <f t="shared" si="124"/>
        <v>265.14999999999998</v>
      </c>
      <c r="M294" s="39">
        <f t="shared" si="125"/>
        <v>339.05</v>
      </c>
      <c r="N294" s="96"/>
      <c r="O294" s="97"/>
    </row>
    <row r="295" spans="1:15" ht="12.75" customHeight="1" x14ac:dyDescent="0.2">
      <c r="A295" s="34" t="s">
        <v>906</v>
      </c>
      <c r="B295" s="35" t="s">
        <v>73</v>
      </c>
      <c r="C295" s="95" t="s">
        <v>74</v>
      </c>
      <c r="D295" s="36" t="s">
        <v>75</v>
      </c>
      <c r="E295" s="37" t="s">
        <v>76</v>
      </c>
      <c r="F295" s="38">
        <v>50</v>
      </c>
      <c r="G295" s="39">
        <v>0.16</v>
      </c>
      <c r="H295" s="39">
        <v>0.44</v>
      </c>
      <c r="I295" s="39">
        <f t="shared" si="121"/>
        <v>0.6</v>
      </c>
      <c r="J295" s="39">
        <f t="shared" si="122"/>
        <v>8</v>
      </c>
      <c r="K295" s="39">
        <f t="shared" si="123"/>
        <v>22</v>
      </c>
      <c r="L295" s="39">
        <f t="shared" si="124"/>
        <v>30</v>
      </c>
      <c r="M295" s="39">
        <f t="shared" si="125"/>
        <v>38.36</v>
      </c>
      <c r="N295" s="96"/>
      <c r="O295" s="97"/>
    </row>
    <row r="296" spans="1:15" ht="12.75" customHeight="1" x14ac:dyDescent="0.2">
      <c r="A296" s="34" t="s">
        <v>907</v>
      </c>
      <c r="B296" s="35" t="s">
        <v>78</v>
      </c>
      <c r="C296" s="95" t="s">
        <v>79</v>
      </c>
      <c r="D296" s="36" t="s">
        <v>80</v>
      </c>
      <c r="E296" s="37" t="s">
        <v>81</v>
      </c>
      <c r="F296" s="38">
        <v>500</v>
      </c>
      <c r="G296" s="39">
        <v>0.16</v>
      </c>
      <c r="H296" s="39">
        <v>0.45</v>
      </c>
      <c r="I296" s="39">
        <f t="shared" si="121"/>
        <v>0.61</v>
      </c>
      <c r="J296" s="39">
        <f t="shared" si="122"/>
        <v>80</v>
      </c>
      <c r="K296" s="39">
        <f t="shared" si="123"/>
        <v>225</v>
      </c>
      <c r="L296" s="39">
        <f t="shared" si="124"/>
        <v>305</v>
      </c>
      <c r="M296" s="39">
        <f t="shared" si="125"/>
        <v>390</v>
      </c>
      <c r="N296" s="96"/>
      <c r="O296" s="97"/>
    </row>
    <row r="297" spans="1:15" ht="12.75" customHeight="1" x14ac:dyDescent="0.2">
      <c r="A297" s="34" t="s">
        <v>908</v>
      </c>
      <c r="B297" s="35" t="s">
        <v>83</v>
      </c>
      <c r="C297" s="95" t="s">
        <v>84</v>
      </c>
      <c r="D297" s="36" t="s">
        <v>85</v>
      </c>
      <c r="E297" s="37" t="s">
        <v>81</v>
      </c>
      <c r="F297" s="38">
        <v>30</v>
      </c>
      <c r="G297" s="39">
        <v>0.09</v>
      </c>
      <c r="H297" s="39">
        <v>0.35</v>
      </c>
      <c r="I297" s="39">
        <f t="shared" si="121"/>
        <v>0.43999999999999995</v>
      </c>
      <c r="J297" s="39">
        <f t="shared" si="122"/>
        <v>2.6999999999999997</v>
      </c>
      <c r="K297" s="39">
        <f t="shared" si="123"/>
        <v>10.5</v>
      </c>
      <c r="L297" s="39">
        <f t="shared" si="124"/>
        <v>13.2</v>
      </c>
      <c r="M297" s="39">
        <f t="shared" si="125"/>
        <v>16.88</v>
      </c>
      <c r="N297" s="96"/>
      <c r="O297" s="97"/>
    </row>
    <row r="298" spans="1:15" ht="12.75" customHeight="1" x14ac:dyDescent="0.2">
      <c r="A298" s="34" t="s">
        <v>909</v>
      </c>
      <c r="B298" s="35" t="s">
        <v>83</v>
      </c>
      <c r="C298" s="95" t="s">
        <v>87</v>
      </c>
      <c r="D298" s="36" t="s">
        <v>88</v>
      </c>
      <c r="E298" s="37" t="s">
        <v>46</v>
      </c>
      <c r="F298" s="38">
        <v>30</v>
      </c>
      <c r="G298" s="39">
        <v>0.89</v>
      </c>
      <c r="H298" s="39">
        <v>2.14</v>
      </c>
      <c r="I298" s="39">
        <f t="shared" si="121"/>
        <v>3.0300000000000002</v>
      </c>
      <c r="J298" s="39">
        <f t="shared" si="122"/>
        <v>26.7</v>
      </c>
      <c r="K298" s="39">
        <f t="shared" si="123"/>
        <v>64.2</v>
      </c>
      <c r="L298" s="39">
        <f t="shared" si="124"/>
        <v>90.9</v>
      </c>
      <c r="M298" s="39">
        <f t="shared" si="125"/>
        <v>116.23</v>
      </c>
      <c r="N298" s="96"/>
      <c r="O298" s="97"/>
    </row>
    <row r="299" spans="1:15" ht="12.75" customHeight="1" x14ac:dyDescent="0.2">
      <c r="A299" s="245"/>
      <c r="B299" s="246"/>
      <c r="C299" s="246"/>
      <c r="D299" s="246"/>
      <c r="E299" s="246"/>
      <c r="F299" s="246"/>
      <c r="G299" s="246"/>
      <c r="H299" s="246"/>
      <c r="I299" s="246"/>
      <c r="J299" s="246"/>
      <c r="K299" s="246"/>
      <c r="L299" s="246"/>
      <c r="M299" s="240"/>
      <c r="N299" s="98"/>
      <c r="O299" s="97"/>
    </row>
    <row r="300" spans="1:15" ht="12.75" customHeight="1" x14ac:dyDescent="0.2">
      <c r="A300" s="29" t="s">
        <v>910</v>
      </c>
      <c r="B300" s="239" t="s">
        <v>90</v>
      </c>
      <c r="C300" s="240"/>
      <c r="D300" s="30"/>
      <c r="E300" s="31"/>
      <c r="F300" s="32"/>
      <c r="G300" s="33"/>
      <c r="H300" s="33"/>
      <c r="I300" s="33"/>
      <c r="J300" s="33">
        <f t="shared" ref="J300:M300" si="126">SUM(J301:J314)</f>
        <v>1896.0459999999998</v>
      </c>
      <c r="K300" s="33">
        <f t="shared" si="126"/>
        <v>606.346</v>
      </c>
      <c r="L300" s="33">
        <f t="shared" si="126"/>
        <v>2502.3920000000003</v>
      </c>
      <c r="M300" s="33">
        <f t="shared" si="126"/>
        <v>3199.81</v>
      </c>
      <c r="N300" s="99">
        <f>M300</f>
        <v>3199.81</v>
      </c>
      <c r="O300" s="100"/>
    </row>
    <row r="301" spans="1:15" ht="12.75" customHeight="1" x14ac:dyDescent="0.2">
      <c r="A301" s="23" t="s">
        <v>887</v>
      </c>
      <c r="B301" s="24" t="s">
        <v>92</v>
      </c>
      <c r="C301" s="40" t="s">
        <v>93</v>
      </c>
      <c r="D301" s="25" t="s">
        <v>94</v>
      </c>
      <c r="E301" s="26" t="s">
        <v>63</v>
      </c>
      <c r="F301" s="27">
        <v>3.5</v>
      </c>
      <c r="G301" s="28">
        <v>292.33999999999997</v>
      </c>
      <c r="H301" s="28">
        <v>55.58</v>
      </c>
      <c r="I301" s="28">
        <f>G301+H301</f>
        <v>347.91999999999996</v>
      </c>
      <c r="J301" s="28">
        <f>G301*F301</f>
        <v>1023.1899999999999</v>
      </c>
      <c r="K301" s="28">
        <f>H301*F301</f>
        <v>194.53</v>
      </c>
      <c r="L301" s="28">
        <f>J301+K301</f>
        <v>1217.72</v>
      </c>
      <c r="M301" s="28">
        <f>ROUND(L301*(1+$M$4),2)</f>
        <v>1557.1</v>
      </c>
      <c r="N301" s="96"/>
      <c r="O301" s="97"/>
    </row>
    <row r="302" spans="1:15" ht="12.75" customHeight="1" x14ac:dyDescent="0.2">
      <c r="A302" s="23" t="s">
        <v>891</v>
      </c>
      <c r="B302" s="24" t="s">
        <v>911</v>
      </c>
      <c r="C302" s="40" t="s">
        <v>97</v>
      </c>
      <c r="D302" s="25" t="s">
        <v>98</v>
      </c>
      <c r="E302" s="26" t="s">
        <v>46</v>
      </c>
      <c r="F302" s="27">
        <v>59.5</v>
      </c>
      <c r="G302" s="28">
        <v>1.88</v>
      </c>
      <c r="H302" s="28">
        <v>1.68</v>
      </c>
      <c r="I302" s="28">
        <f t="shared" ref="I302:I308" si="127">SUM(G302:H302)</f>
        <v>3.5599999999999996</v>
      </c>
      <c r="J302" s="28" t="s">
        <v>912</v>
      </c>
      <c r="K302" s="28" t="s">
        <v>913</v>
      </c>
      <c r="L302" s="28" t="s">
        <v>914</v>
      </c>
      <c r="M302" s="28" t="s">
        <v>915</v>
      </c>
      <c r="N302" s="96"/>
      <c r="O302" s="97"/>
    </row>
    <row r="303" spans="1:15" ht="12.75" customHeight="1" x14ac:dyDescent="0.2">
      <c r="A303" s="23" t="s">
        <v>895</v>
      </c>
      <c r="B303" s="24" t="s">
        <v>911</v>
      </c>
      <c r="C303" s="40" t="s">
        <v>108</v>
      </c>
      <c r="D303" s="25" t="s">
        <v>109</v>
      </c>
      <c r="E303" s="26" t="s">
        <v>46</v>
      </c>
      <c r="F303" s="27">
        <v>59.5</v>
      </c>
      <c r="G303" s="28">
        <v>16.18</v>
      </c>
      <c r="H303" s="28">
        <v>13.42</v>
      </c>
      <c r="I303" s="28">
        <f t="shared" si="127"/>
        <v>29.6</v>
      </c>
      <c r="J303" s="28" t="s">
        <v>916</v>
      </c>
      <c r="K303" s="28" t="s">
        <v>917</v>
      </c>
      <c r="L303" s="28" t="s">
        <v>918</v>
      </c>
      <c r="M303" s="28" t="s">
        <v>919</v>
      </c>
      <c r="N303" s="96"/>
      <c r="O303" s="97"/>
    </row>
    <row r="304" spans="1:15" ht="12.75" customHeight="1" x14ac:dyDescent="0.2">
      <c r="A304" s="23" t="s">
        <v>920</v>
      </c>
      <c r="B304" s="24" t="s">
        <v>911</v>
      </c>
      <c r="C304" s="40" t="s">
        <v>111</v>
      </c>
      <c r="D304" s="25" t="s">
        <v>112</v>
      </c>
      <c r="E304" s="26" t="s">
        <v>46</v>
      </c>
      <c r="F304" s="27">
        <v>59.5</v>
      </c>
      <c r="G304" s="28">
        <v>5.86</v>
      </c>
      <c r="H304" s="28">
        <v>5.53</v>
      </c>
      <c r="I304" s="28">
        <f t="shared" si="127"/>
        <v>11.39</v>
      </c>
      <c r="J304" s="28" t="s">
        <v>921</v>
      </c>
      <c r="K304" s="28" t="s">
        <v>922</v>
      </c>
      <c r="L304" s="28" t="s">
        <v>923</v>
      </c>
      <c r="M304" s="28" t="s">
        <v>924</v>
      </c>
      <c r="N304" s="96"/>
      <c r="O304" s="97"/>
    </row>
    <row r="305" spans="1:15" ht="12.75" customHeight="1" x14ac:dyDescent="0.2">
      <c r="A305" s="23" t="s">
        <v>925</v>
      </c>
      <c r="B305" s="24" t="s">
        <v>103</v>
      </c>
      <c r="C305" s="40" t="s">
        <v>104</v>
      </c>
      <c r="D305" s="25" t="s">
        <v>105</v>
      </c>
      <c r="E305" s="26" t="s">
        <v>46</v>
      </c>
      <c r="F305" s="27">
        <v>5.2</v>
      </c>
      <c r="G305" s="28">
        <v>74.849999999999994</v>
      </c>
      <c r="H305" s="28">
        <v>60.09</v>
      </c>
      <c r="I305" s="28">
        <f t="shared" si="127"/>
        <v>134.94</v>
      </c>
      <c r="J305" s="28" t="s">
        <v>926</v>
      </c>
      <c r="K305" s="28" t="s">
        <v>927</v>
      </c>
      <c r="L305" s="28" t="s">
        <v>928</v>
      </c>
      <c r="M305" s="28" t="s">
        <v>929</v>
      </c>
      <c r="N305" s="96"/>
      <c r="O305" s="97"/>
    </row>
    <row r="306" spans="1:15" ht="12.75" customHeight="1" x14ac:dyDescent="0.2">
      <c r="A306" s="23" t="s">
        <v>930</v>
      </c>
      <c r="B306" s="24" t="s">
        <v>103</v>
      </c>
      <c r="C306" s="40" t="s">
        <v>97</v>
      </c>
      <c r="D306" s="25" t="s">
        <v>98</v>
      </c>
      <c r="E306" s="26" t="s">
        <v>46</v>
      </c>
      <c r="F306" s="27">
        <f>F305*2</f>
        <v>10.4</v>
      </c>
      <c r="G306" s="28">
        <v>1.88</v>
      </c>
      <c r="H306" s="28">
        <v>1.68</v>
      </c>
      <c r="I306" s="28">
        <f t="shared" si="127"/>
        <v>3.5599999999999996</v>
      </c>
      <c r="J306" s="28" t="s">
        <v>912</v>
      </c>
      <c r="K306" s="28" t="s">
        <v>913</v>
      </c>
      <c r="L306" s="28" t="s">
        <v>914</v>
      </c>
      <c r="M306" s="28" t="s">
        <v>915</v>
      </c>
      <c r="N306" s="96"/>
      <c r="O306" s="97"/>
    </row>
    <row r="307" spans="1:15" ht="12.75" customHeight="1" x14ac:dyDescent="0.2">
      <c r="A307" s="23" t="s">
        <v>931</v>
      </c>
      <c r="B307" s="24" t="s">
        <v>103</v>
      </c>
      <c r="C307" s="40" t="s">
        <v>108</v>
      </c>
      <c r="D307" s="25" t="s">
        <v>109</v>
      </c>
      <c r="E307" s="26" t="s">
        <v>46</v>
      </c>
      <c r="F307" s="27">
        <f>F305*2</f>
        <v>10.4</v>
      </c>
      <c r="G307" s="28">
        <v>16.18</v>
      </c>
      <c r="H307" s="28">
        <v>13.42</v>
      </c>
      <c r="I307" s="28">
        <f t="shared" si="127"/>
        <v>29.6</v>
      </c>
      <c r="J307" s="28" t="s">
        <v>916</v>
      </c>
      <c r="K307" s="28" t="s">
        <v>917</v>
      </c>
      <c r="L307" s="28" t="s">
        <v>918</v>
      </c>
      <c r="M307" s="28" t="s">
        <v>919</v>
      </c>
      <c r="N307" s="96"/>
      <c r="O307" s="97"/>
    </row>
    <row r="308" spans="1:15" ht="12.75" customHeight="1" x14ac:dyDescent="0.2">
      <c r="A308" s="23" t="s">
        <v>932</v>
      </c>
      <c r="B308" s="24" t="s">
        <v>103</v>
      </c>
      <c r="C308" s="40" t="s">
        <v>111</v>
      </c>
      <c r="D308" s="25" t="s">
        <v>112</v>
      </c>
      <c r="E308" s="26" t="s">
        <v>46</v>
      </c>
      <c r="F308" s="27">
        <f>F305*2</f>
        <v>10.4</v>
      </c>
      <c r="G308" s="28">
        <v>5.86</v>
      </c>
      <c r="H308" s="28">
        <v>5.53</v>
      </c>
      <c r="I308" s="28">
        <f t="shared" si="127"/>
        <v>11.39</v>
      </c>
      <c r="J308" s="28" t="s">
        <v>921</v>
      </c>
      <c r="K308" s="28" t="s">
        <v>922</v>
      </c>
      <c r="L308" s="28" t="s">
        <v>923</v>
      </c>
      <c r="M308" s="28" t="s">
        <v>924</v>
      </c>
      <c r="N308" s="96"/>
      <c r="O308" s="97"/>
    </row>
    <row r="309" spans="1:15" ht="12.75" customHeight="1" x14ac:dyDescent="0.2">
      <c r="A309" s="23" t="s">
        <v>933</v>
      </c>
      <c r="B309" s="24" t="s">
        <v>121</v>
      </c>
      <c r="C309" s="40" t="s">
        <v>122</v>
      </c>
      <c r="D309" s="25" t="s">
        <v>123</v>
      </c>
      <c r="E309" s="26" t="s">
        <v>81</v>
      </c>
      <c r="F309" s="27">
        <v>6.2</v>
      </c>
      <c r="G309" s="28">
        <v>80.38</v>
      </c>
      <c r="H309" s="28">
        <v>18.68</v>
      </c>
      <c r="I309" s="28">
        <f>G309+H309</f>
        <v>99.06</v>
      </c>
      <c r="J309" s="28">
        <f>G309*F309</f>
        <v>498.35599999999999</v>
      </c>
      <c r="K309" s="28">
        <f>H309*F309</f>
        <v>115.816</v>
      </c>
      <c r="L309" s="28">
        <f>J309+K309</f>
        <v>614.17200000000003</v>
      </c>
      <c r="M309" s="28">
        <f>ROUND(L309*(1+$M$4),2)</f>
        <v>785.34</v>
      </c>
      <c r="N309" s="96"/>
      <c r="O309" s="97"/>
    </row>
    <row r="310" spans="1:15" ht="12.75" customHeight="1" x14ac:dyDescent="0.2">
      <c r="A310" s="23" t="s">
        <v>934</v>
      </c>
      <c r="B310" s="24" t="s">
        <v>114</v>
      </c>
      <c r="C310" s="40" t="s">
        <v>97</v>
      </c>
      <c r="D310" s="25" t="s">
        <v>98</v>
      </c>
      <c r="E310" s="26" t="s">
        <v>46</v>
      </c>
      <c r="F310" s="27">
        <v>7.2</v>
      </c>
      <c r="G310" s="28">
        <v>1.96</v>
      </c>
      <c r="H310" s="28">
        <v>1.68</v>
      </c>
      <c r="I310" s="28">
        <f t="shared" ref="I310:I312" si="128">SUM(G310:H310)</f>
        <v>3.6399999999999997</v>
      </c>
      <c r="J310" s="28" t="s">
        <v>912</v>
      </c>
      <c r="K310" s="28" t="s">
        <v>913</v>
      </c>
      <c r="L310" s="28" t="s">
        <v>914</v>
      </c>
      <c r="M310" s="28" t="s">
        <v>915</v>
      </c>
      <c r="N310" s="96"/>
      <c r="O310" s="97"/>
    </row>
    <row r="311" spans="1:15" ht="12.75" customHeight="1" x14ac:dyDescent="0.2">
      <c r="A311" s="23" t="s">
        <v>935</v>
      </c>
      <c r="B311" s="24" t="s">
        <v>118</v>
      </c>
      <c r="C311" s="40" t="s">
        <v>108</v>
      </c>
      <c r="D311" s="25" t="s">
        <v>109</v>
      </c>
      <c r="E311" s="26" t="s">
        <v>46</v>
      </c>
      <c r="F311" s="27">
        <v>7.2</v>
      </c>
      <c r="G311" s="28">
        <v>16.96</v>
      </c>
      <c r="H311" s="28">
        <v>13.42</v>
      </c>
      <c r="I311" s="28">
        <f t="shared" si="128"/>
        <v>30.380000000000003</v>
      </c>
      <c r="J311" s="28" t="s">
        <v>916</v>
      </c>
      <c r="K311" s="28" t="s">
        <v>917</v>
      </c>
      <c r="L311" s="28" t="s">
        <v>918</v>
      </c>
      <c r="M311" s="28" t="s">
        <v>919</v>
      </c>
      <c r="N311" s="96"/>
      <c r="O311" s="97"/>
    </row>
    <row r="312" spans="1:15" ht="12.75" customHeight="1" x14ac:dyDescent="0.2">
      <c r="A312" s="23" t="s">
        <v>936</v>
      </c>
      <c r="B312" s="24" t="s">
        <v>114</v>
      </c>
      <c r="C312" s="40" t="s">
        <v>111</v>
      </c>
      <c r="D312" s="25" t="s">
        <v>112</v>
      </c>
      <c r="E312" s="26" t="s">
        <v>46</v>
      </c>
      <c r="F312" s="27">
        <v>7.2</v>
      </c>
      <c r="G312" s="28">
        <v>7.06</v>
      </c>
      <c r="H312" s="28">
        <v>5.52</v>
      </c>
      <c r="I312" s="28">
        <f t="shared" si="128"/>
        <v>12.579999999999998</v>
      </c>
      <c r="J312" s="28" t="s">
        <v>921</v>
      </c>
      <c r="K312" s="28" t="s">
        <v>922</v>
      </c>
      <c r="L312" s="28" t="s">
        <v>923</v>
      </c>
      <c r="M312" s="28" t="s">
        <v>924</v>
      </c>
      <c r="N312" s="96"/>
      <c r="O312" s="97"/>
    </row>
    <row r="313" spans="1:15" ht="12.75" customHeight="1" x14ac:dyDescent="0.2">
      <c r="A313" s="23" t="s">
        <v>937</v>
      </c>
      <c r="B313" s="24" t="s">
        <v>125</v>
      </c>
      <c r="C313" s="40" t="s">
        <v>108</v>
      </c>
      <c r="D313" s="25" t="s">
        <v>109</v>
      </c>
      <c r="E313" s="26" t="s">
        <v>46</v>
      </c>
      <c r="F313" s="27">
        <v>20</v>
      </c>
      <c r="G313" s="28">
        <v>16.96</v>
      </c>
      <c r="H313" s="28">
        <v>13.42</v>
      </c>
      <c r="I313" s="28">
        <f t="shared" ref="I313:I314" si="129">G313+H313</f>
        <v>30.380000000000003</v>
      </c>
      <c r="J313" s="28">
        <f t="shared" ref="J313:J314" si="130">G313*F313</f>
        <v>339.20000000000005</v>
      </c>
      <c r="K313" s="28">
        <f t="shared" ref="K313:K314" si="131">H313*F313</f>
        <v>268.39999999999998</v>
      </c>
      <c r="L313" s="28">
        <f t="shared" ref="L313:L314" si="132">J313+K313</f>
        <v>607.6</v>
      </c>
      <c r="M313" s="28">
        <f t="shared" ref="M313:M314" si="133">ROUND(L313*(1+$M$4),2)</f>
        <v>776.94</v>
      </c>
      <c r="N313" s="96"/>
      <c r="O313" s="97"/>
    </row>
    <row r="314" spans="1:15" ht="12.75" customHeight="1" x14ac:dyDescent="0.2">
      <c r="A314" s="23" t="s">
        <v>938</v>
      </c>
      <c r="B314" s="24" t="s">
        <v>125</v>
      </c>
      <c r="C314" s="40" t="s">
        <v>111</v>
      </c>
      <c r="D314" s="25" t="s">
        <v>112</v>
      </c>
      <c r="E314" s="26" t="s">
        <v>46</v>
      </c>
      <c r="F314" s="27">
        <v>5</v>
      </c>
      <c r="G314" s="28">
        <v>7.06</v>
      </c>
      <c r="H314" s="28">
        <v>5.52</v>
      </c>
      <c r="I314" s="28">
        <f t="shared" si="129"/>
        <v>12.579999999999998</v>
      </c>
      <c r="J314" s="28">
        <f t="shared" si="130"/>
        <v>35.299999999999997</v>
      </c>
      <c r="K314" s="28">
        <f t="shared" si="131"/>
        <v>27.599999999999998</v>
      </c>
      <c r="L314" s="28">
        <f t="shared" si="132"/>
        <v>62.899999999999991</v>
      </c>
      <c r="M314" s="28">
        <f t="shared" si="133"/>
        <v>80.430000000000007</v>
      </c>
      <c r="N314" s="96"/>
      <c r="O314" s="97"/>
    </row>
    <row r="315" spans="1:15" ht="12.75" customHeight="1" x14ac:dyDescent="0.2">
      <c r="A315" s="23"/>
      <c r="B315" s="24"/>
      <c r="C315" s="40"/>
      <c r="D315" s="25"/>
      <c r="E315" s="26"/>
      <c r="F315" s="27"/>
      <c r="G315" s="28"/>
      <c r="H315" s="28"/>
      <c r="I315" s="28"/>
      <c r="J315" s="28"/>
      <c r="K315" s="28"/>
      <c r="L315" s="28"/>
      <c r="M315" s="28"/>
      <c r="N315" s="96"/>
      <c r="O315" s="97"/>
    </row>
    <row r="316" spans="1:15" ht="12.75" customHeight="1" x14ac:dyDescent="0.2">
      <c r="A316" s="29" t="s">
        <v>939</v>
      </c>
      <c r="B316" s="239" t="s">
        <v>128</v>
      </c>
      <c r="C316" s="240"/>
      <c r="D316" s="30"/>
      <c r="E316" s="31"/>
      <c r="F316" s="32"/>
      <c r="G316" s="33"/>
      <c r="H316" s="33"/>
      <c r="I316" s="33"/>
      <c r="J316" s="33">
        <f t="shared" ref="J316:M316" si="134">SUM(J317:J322)</f>
        <v>11340.1773765</v>
      </c>
      <c r="K316" s="33">
        <f t="shared" si="134"/>
        <v>3599.2899600000001</v>
      </c>
      <c r="L316" s="33">
        <f t="shared" si="134"/>
        <v>14939.467336499998</v>
      </c>
      <c r="M316" s="33">
        <f t="shared" si="134"/>
        <v>19103.09</v>
      </c>
      <c r="N316" s="99">
        <f>M316</f>
        <v>19103.09</v>
      </c>
      <c r="O316" s="100"/>
    </row>
    <row r="317" spans="1:15" ht="12.75" customHeight="1" x14ac:dyDescent="0.2">
      <c r="A317" s="23" t="s">
        <v>940</v>
      </c>
      <c r="B317" s="24" t="s">
        <v>130</v>
      </c>
      <c r="C317" s="40" t="s">
        <v>131</v>
      </c>
      <c r="D317" s="25" t="s">
        <v>132</v>
      </c>
      <c r="E317" s="26" t="s">
        <v>46</v>
      </c>
      <c r="F317" s="27">
        <v>16</v>
      </c>
      <c r="G317" s="28">
        <v>89.88</v>
      </c>
      <c r="H317" s="28">
        <v>13.09</v>
      </c>
      <c r="I317" s="28">
        <f t="shared" ref="I317:I322" si="135">G317+H317</f>
        <v>102.97</v>
      </c>
      <c r="J317" s="28">
        <f t="shared" ref="J317:J322" si="136">G317*F317</f>
        <v>1438.08</v>
      </c>
      <c r="K317" s="28">
        <f t="shared" ref="K317:K322" si="137">H317*F317</f>
        <v>209.44</v>
      </c>
      <c r="L317" s="28">
        <f t="shared" ref="L317:L322" si="138">J317+K317</f>
        <v>1647.52</v>
      </c>
      <c r="M317" s="28">
        <f t="shared" ref="M317:M322" si="139">ROUND(L317*(1+$M$4),2)</f>
        <v>2106.6799999999998</v>
      </c>
      <c r="N317" s="96"/>
      <c r="O317" s="97"/>
    </row>
    <row r="318" spans="1:15" ht="12.75" customHeight="1" x14ac:dyDescent="0.2">
      <c r="A318" s="23" t="s">
        <v>941</v>
      </c>
      <c r="B318" s="24" t="s">
        <v>134</v>
      </c>
      <c r="C318" s="40" t="s">
        <v>135</v>
      </c>
      <c r="D318" s="25" t="s">
        <v>136</v>
      </c>
      <c r="E318" s="26" t="s">
        <v>46</v>
      </c>
      <c r="F318" s="27">
        <v>16</v>
      </c>
      <c r="G318" s="28">
        <v>30.73</v>
      </c>
      <c r="H318" s="28">
        <v>0</v>
      </c>
      <c r="I318" s="28">
        <f t="shared" si="135"/>
        <v>30.73</v>
      </c>
      <c r="J318" s="28">
        <f t="shared" si="136"/>
        <v>491.68</v>
      </c>
      <c r="K318" s="28">
        <f t="shared" si="137"/>
        <v>0</v>
      </c>
      <c r="L318" s="28">
        <f t="shared" si="138"/>
        <v>491.68</v>
      </c>
      <c r="M318" s="28">
        <f t="shared" si="139"/>
        <v>628.71</v>
      </c>
      <c r="N318" s="96"/>
      <c r="O318" s="97"/>
    </row>
    <row r="319" spans="1:15" ht="12.75" customHeight="1" x14ac:dyDescent="0.2">
      <c r="A319" s="23" t="s">
        <v>942</v>
      </c>
      <c r="B319" s="24" t="s">
        <v>943</v>
      </c>
      <c r="C319" s="40" t="s">
        <v>944</v>
      </c>
      <c r="D319" s="25" t="s">
        <v>945</v>
      </c>
      <c r="E319" s="26" t="s">
        <v>46</v>
      </c>
      <c r="F319" s="27">
        <v>20.5</v>
      </c>
      <c r="G319" s="28">
        <v>91.137433000000001</v>
      </c>
      <c r="H319" s="28">
        <v>11.34512</v>
      </c>
      <c r="I319" s="28">
        <f t="shared" si="135"/>
        <v>102.482553</v>
      </c>
      <c r="J319" s="28">
        <f t="shared" si="136"/>
        <v>1868.3173765000001</v>
      </c>
      <c r="K319" s="28">
        <f t="shared" si="137"/>
        <v>232.57496</v>
      </c>
      <c r="L319" s="28">
        <f t="shared" si="138"/>
        <v>2100.8923365000001</v>
      </c>
      <c r="M319" s="28">
        <f t="shared" si="139"/>
        <v>2686.41</v>
      </c>
      <c r="N319" s="96"/>
      <c r="O319" s="97"/>
    </row>
    <row r="320" spans="1:15" ht="12.75" customHeight="1" x14ac:dyDescent="0.2">
      <c r="A320" s="23" t="s">
        <v>946</v>
      </c>
      <c r="B320" s="24" t="s">
        <v>138</v>
      </c>
      <c r="C320" s="40" t="s">
        <v>111</v>
      </c>
      <c r="D320" s="25" t="s">
        <v>139</v>
      </c>
      <c r="E320" s="26" t="s">
        <v>46</v>
      </c>
      <c r="F320" s="27">
        <f>SUM(F317:F319)</f>
        <v>52.5</v>
      </c>
      <c r="G320" s="28">
        <v>7.06</v>
      </c>
      <c r="H320" s="28">
        <v>5.52</v>
      </c>
      <c r="I320" s="28">
        <f t="shared" si="135"/>
        <v>12.579999999999998</v>
      </c>
      <c r="J320" s="28">
        <f t="shared" si="136"/>
        <v>370.65</v>
      </c>
      <c r="K320" s="28">
        <f t="shared" si="137"/>
        <v>289.79999999999995</v>
      </c>
      <c r="L320" s="28">
        <f t="shared" si="138"/>
        <v>660.44999999999993</v>
      </c>
      <c r="M320" s="28">
        <f t="shared" si="139"/>
        <v>844.52</v>
      </c>
      <c r="N320" s="96"/>
      <c r="O320" s="97"/>
    </row>
    <row r="321" spans="1:15" ht="12.75" customHeight="1" x14ac:dyDescent="0.2">
      <c r="A321" s="23" t="s">
        <v>947</v>
      </c>
      <c r="B321" s="24" t="s">
        <v>948</v>
      </c>
      <c r="C321" s="40" t="s">
        <v>949</v>
      </c>
      <c r="D321" s="25" t="s">
        <v>950</v>
      </c>
      <c r="E321" s="26" t="s">
        <v>46</v>
      </c>
      <c r="F321" s="27">
        <v>110.5</v>
      </c>
      <c r="G321" s="28">
        <v>55.11</v>
      </c>
      <c r="H321" s="28">
        <v>14.06</v>
      </c>
      <c r="I321" s="28">
        <f t="shared" si="135"/>
        <v>69.17</v>
      </c>
      <c r="J321" s="28">
        <f t="shared" si="136"/>
        <v>6089.6549999999997</v>
      </c>
      <c r="K321" s="28">
        <f t="shared" si="137"/>
        <v>1553.63</v>
      </c>
      <c r="L321" s="28">
        <f t="shared" si="138"/>
        <v>7643.2849999999999</v>
      </c>
      <c r="M321" s="28">
        <f t="shared" si="139"/>
        <v>9773.4699999999993</v>
      </c>
      <c r="N321" s="96"/>
      <c r="O321" s="97"/>
    </row>
    <row r="322" spans="1:15" ht="12.75" customHeight="1" x14ac:dyDescent="0.2">
      <c r="A322" s="23" t="s">
        <v>951</v>
      </c>
      <c r="B322" s="24" t="s">
        <v>952</v>
      </c>
      <c r="C322" s="40" t="s">
        <v>953</v>
      </c>
      <c r="D322" s="25" t="s">
        <v>954</v>
      </c>
      <c r="E322" s="26" t="s">
        <v>46</v>
      </c>
      <c r="F322" s="27">
        <v>110.5</v>
      </c>
      <c r="G322" s="28">
        <v>9.7899999999999991</v>
      </c>
      <c r="H322" s="28">
        <v>11.89</v>
      </c>
      <c r="I322" s="28">
        <f t="shared" si="135"/>
        <v>21.68</v>
      </c>
      <c r="J322" s="28">
        <f t="shared" si="136"/>
        <v>1081.7949999999998</v>
      </c>
      <c r="K322" s="28">
        <f t="shared" si="137"/>
        <v>1313.845</v>
      </c>
      <c r="L322" s="28">
        <f t="shared" si="138"/>
        <v>2395.64</v>
      </c>
      <c r="M322" s="28">
        <f t="shared" si="139"/>
        <v>3063.3</v>
      </c>
      <c r="N322" s="96"/>
      <c r="O322" s="97"/>
    </row>
    <row r="323" spans="1:15" ht="12.75" customHeight="1" x14ac:dyDescent="0.2">
      <c r="A323" s="248"/>
      <c r="B323" s="246"/>
      <c r="C323" s="246"/>
      <c r="D323" s="246"/>
      <c r="E323" s="246"/>
      <c r="F323" s="246"/>
      <c r="G323" s="246"/>
      <c r="H323" s="246"/>
      <c r="I323" s="246"/>
      <c r="J323" s="246"/>
      <c r="K323" s="246"/>
      <c r="L323" s="246"/>
      <c r="M323" s="240"/>
      <c r="N323" s="98"/>
      <c r="O323" s="4"/>
    </row>
    <row r="324" spans="1:15" ht="12.75" customHeight="1" x14ac:dyDescent="0.2">
      <c r="A324" s="29" t="s">
        <v>955</v>
      </c>
      <c r="B324" s="239" t="s">
        <v>149</v>
      </c>
      <c r="C324" s="240"/>
      <c r="D324" s="30"/>
      <c r="E324" s="31"/>
      <c r="F324" s="32"/>
      <c r="G324" s="33"/>
      <c r="H324" s="33"/>
      <c r="I324" s="33"/>
      <c r="J324" s="33">
        <f t="shared" ref="J324:M324" si="140">SUM(J325:J327)</f>
        <v>9073.1360000000004</v>
      </c>
      <c r="K324" s="33">
        <f t="shared" si="140"/>
        <v>2059.9580000000001</v>
      </c>
      <c r="L324" s="33">
        <f t="shared" si="140"/>
        <v>11133.093999999999</v>
      </c>
      <c r="M324" s="33">
        <f t="shared" si="140"/>
        <v>14235.88</v>
      </c>
      <c r="N324" s="93">
        <f>M324</f>
        <v>14235.88</v>
      </c>
      <c r="O324" s="94"/>
    </row>
    <row r="325" spans="1:15" ht="12.75" customHeight="1" x14ac:dyDescent="0.2">
      <c r="A325" s="23" t="s">
        <v>956</v>
      </c>
      <c r="B325" s="24" t="s">
        <v>181</v>
      </c>
      <c r="C325" s="40" t="s">
        <v>182</v>
      </c>
      <c r="D325" s="25" t="s">
        <v>183</v>
      </c>
      <c r="E325" s="26" t="s">
        <v>46</v>
      </c>
      <c r="F325" s="27">
        <v>98</v>
      </c>
      <c r="G325" s="28">
        <v>66.88</v>
      </c>
      <c r="H325" s="28">
        <v>8.02</v>
      </c>
      <c r="I325" s="28">
        <f t="shared" ref="I325:I327" si="141">G325+H325</f>
        <v>74.899999999999991</v>
      </c>
      <c r="J325" s="28">
        <f t="shared" ref="J325:J327" si="142">G325*F325</f>
        <v>6554.24</v>
      </c>
      <c r="K325" s="28">
        <f t="shared" ref="K325:K327" si="143">H325*F325</f>
        <v>785.95999999999992</v>
      </c>
      <c r="L325" s="28">
        <f t="shared" ref="L325:L327" si="144">J325+K325</f>
        <v>7340.2</v>
      </c>
      <c r="M325" s="28">
        <f t="shared" ref="M325:M327" si="145">ROUND(L325*(1+$M$4),2)</f>
        <v>9385.91</v>
      </c>
      <c r="N325" s="96"/>
      <c r="O325" s="97"/>
    </row>
    <row r="326" spans="1:15" ht="12.75" customHeight="1" x14ac:dyDescent="0.2">
      <c r="A326" s="23" t="s">
        <v>957</v>
      </c>
      <c r="B326" s="24" t="s">
        <v>185</v>
      </c>
      <c r="C326" s="40" t="s">
        <v>186</v>
      </c>
      <c r="D326" s="25" t="s">
        <v>187</v>
      </c>
      <c r="E326" s="26" t="s">
        <v>46</v>
      </c>
      <c r="F326" s="27">
        <v>43.2</v>
      </c>
      <c r="G326" s="28">
        <v>43.28</v>
      </c>
      <c r="H326" s="28">
        <v>21.89</v>
      </c>
      <c r="I326" s="28">
        <f t="shared" si="141"/>
        <v>65.17</v>
      </c>
      <c r="J326" s="28">
        <f t="shared" si="142"/>
        <v>1869.6960000000001</v>
      </c>
      <c r="K326" s="28">
        <f t="shared" si="143"/>
        <v>945.64800000000014</v>
      </c>
      <c r="L326" s="28">
        <f t="shared" si="144"/>
        <v>2815.3440000000001</v>
      </c>
      <c r="M326" s="28">
        <f t="shared" si="145"/>
        <v>3599.98</v>
      </c>
      <c r="N326" s="96"/>
      <c r="O326" s="97"/>
    </row>
    <row r="327" spans="1:15" ht="12.75" customHeight="1" x14ac:dyDescent="0.2">
      <c r="A327" s="23" t="s">
        <v>958</v>
      </c>
      <c r="B327" s="24" t="s">
        <v>959</v>
      </c>
      <c r="C327" s="40" t="s">
        <v>182</v>
      </c>
      <c r="D327" s="25" t="s">
        <v>183</v>
      </c>
      <c r="E327" s="26" t="s">
        <v>46</v>
      </c>
      <c r="F327" s="27">
        <v>15</v>
      </c>
      <c r="G327" s="28">
        <v>43.28</v>
      </c>
      <c r="H327" s="28">
        <v>21.89</v>
      </c>
      <c r="I327" s="28">
        <f t="shared" si="141"/>
        <v>65.17</v>
      </c>
      <c r="J327" s="28">
        <f t="shared" si="142"/>
        <v>649.20000000000005</v>
      </c>
      <c r="K327" s="28">
        <f t="shared" si="143"/>
        <v>328.35</v>
      </c>
      <c r="L327" s="28">
        <f t="shared" si="144"/>
        <v>977.55000000000007</v>
      </c>
      <c r="M327" s="28">
        <f t="shared" si="145"/>
        <v>1249.99</v>
      </c>
      <c r="N327" s="96"/>
      <c r="O327" s="97"/>
    </row>
    <row r="328" spans="1:15" ht="12.75" customHeight="1" x14ac:dyDescent="0.2">
      <c r="A328" s="41"/>
      <c r="B328" s="42"/>
      <c r="C328" s="101"/>
      <c r="D328" s="44"/>
      <c r="E328" s="45"/>
      <c r="F328" s="46"/>
      <c r="G328" s="46"/>
      <c r="H328" s="46"/>
      <c r="I328" s="46"/>
      <c r="J328" s="46"/>
      <c r="K328" s="46"/>
      <c r="L328" s="46"/>
      <c r="M328" s="46"/>
      <c r="N328" s="98"/>
      <c r="O328" s="4"/>
    </row>
    <row r="329" spans="1:15" ht="12.75" customHeight="1" x14ac:dyDescent="0.2">
      <c r="A329" s="29" t="s">
        <v>960</v>
      </c>
      <c r="B329" s="239" t="s">
        <v>191</v>
      </c>
      <c r="C329" s="240"/>
      <c r="D329" s="30"/>
      <c r="E329" s="31"/>
      <c r="F329" s="32"/>
      <c r="G329" s="33"/>
      <c r="H329" s="33"/>
      <c r="I329" s="33"/>
      <c r="J329" s="33">
        <f t="shared" ref="J329:M329" si="146">SUM(J330:J339)</f>
        <v>15861.494599999998</v>
      </c>
      <c r="K329" s="33">
        <f t="shared" si="146"/>
        <v>925.24860000000001</v>
      </c>
      <c r="L329" s="33">
        <f t="shared" si="146"/>
        <v>16786.743200000001</v>
      </c>
      <c r="M329" s="33">
        <f t="shared" si="146"/>
        <v>21465.230000000003</v>
      </c>
      <c r="N329" s="93">
        <f>M329</f>
        <v>21465.230000000003</v>
      </c>
      <c r="O329" s="94"/>
    </row>
    <row r="330" spans="1:15" ht="12.75" customHeight="1" x14ac:dyDescent="0.2">
      <c r="A330" s="23" t="s">
        <v>961</v>
      </c>
      <c r="B330" s="24" t="s">
        <v>962</v>
      </c>
      <c r="C330" s="40" t="s">
        <v>194</v>
      </c>
      <c r="D330" s="25" t="s">
        <v>203</v>
      </c>
      <c r="E330" s="26" t="s">
        <v>46</v>
      </c>
      <c r="F330" s="27">
        <v>2.56</v>
      </c>
      <c r="G330" s="28">
        <v>407.16</v>
      </c>
      <c r="H330" s="28">
        <v>24.36</v>
      </c>
      <c r="I330" s="28">
        <f t="shared" ref="I330:I339" si="147">G330+H330</f>
        <v>431.52000000000004</v>
      </c>
      <c r="J330" s="28">
        <f t="shared" ref="J330:J339" si="148">G330*F330</f>
        <v>1042.3296</v>
      </c>
      <c r="K330" s="28">
        <f t="shared" ref="K330:K339" si="149">H330*F330</f>
        <v>62.361600000000003</v>
      </c>
      <c r="L330" s="28">
        <f t="shared" ref="L330:L339" si="150">J330+K330</f>
        <v>1104.6912</v>
      </c>
      <c r="M330" s="28">
        <f t="shared" ref="M330:M339" si="151">ROUND(L330*(1+$M$4),2)</f>
        <v>1412.57</v>
      </c>
      <c r="N330" s="96"/>
      <c r="O330" s="97"/>
    </row>
    <row r="331" spans="1:15" ht="12.75" customHeight="1" x14ac:dyDescent="0.2">
      <c r="A331" s="23" t="s">
        <v>963</v>
      </c>
      <c r="B331" s="24" t="s">
        <v>964</v>
      </c>
      <c r="C331" s="40" t="s">
        <v>965</v>
      </c>
      <c r="D331" s="25" t="s">
        <v>966</v>
      </c>
      <c r="E331" s="26" t="s">
        <v>46</v>
      </c>
      <c r="F331" s="27">
        <v>1.45</v>
      </c>
      <c r="G331" s="28">
        <v>359.95</v>
      </c>
      <c r="H331" s="28">
        <v>13.16</v>
      </c>
      <c r="I331" s="28">
        <f t="shared" si="147"/>
        <v>373.11</v>
      </c>
      <c r="J331" s="28">
        <f t="shared" si="148"/>
        <v>521.92750000000001</v>
      </c>
      <c r="K331" s="28">
        <f t="shared" si="149"/>
        <v>19.082000000000001</v>
      </c>
      <c r="L331" s="28">
        <f t="shared" si="150"/>
        <v>541.0095</v>
      </c>
      <c r="M331" s="28">
        <f t="shared" si="151"/>
        <v>691.79</v>
      </c>
      <c r="N331" s="96"/>
      <c r="O331" s="97"/>
    </row>
    <row r="332" spans="1:15" ht="12.75" customHeight="1" x14ac:dyDescent="0.2">
      <c r="A332" s="23" t="s">
        <v>967</v>
      </c>
      <c r="B332" s="24" t="s">
        <v>968</v>
      </c>
      <c r="C332" s="40" t="s">
        <v>202</v>
      </c>
      <c r="D332" s="25" t="s">
        <v>203</v>
      </c>
      <c r="E332" s="26" t="s">
        <v>46</v>
      </c>
      <c r="F332" s="27">
        <v>2</v>
      </c>
      <c r="G332" s="28">
        <v>673.58</v>
      </c>
      <c r="H332" s="28">
        <v>43.33</v>
      </c>
      <c r="I332" s="28">
        <f t="shared" si="147"/>
        <v>716.91000000000008</v>
      </c>
      <c r="J332" s="28">
        <f t="shared" si="148"/>
        <v>1347.16</v>
      </c>
      <c r="K332" s="28">
        <f t="shared" si="149"/>
        <v>86.66</v>
      </c>
      <c r="L332" s="28">
        <f t="shared" si="150"/>
        <v>1433.8200000000002</v>
      </c>
      <c r="M332" s="28">
        <f t="shared" si="151"/>
        <v>1833.43</v>
      </c>
      <c r="N332" s="96"/>
      <c r="O332" s="97"/>
    </row>
    <row r="333" spans="1:15" ht="12.75" customHeight="1" x14ac:dyDescent="0.2">
      <c r="A333" s="23" t="s">
        <v>969</v>
      </c>
      <c r="B333" s="24" t="s">
        <v>970</v>
      </c>
      <c r="C333" s="40" t="s">
        <v>202</v>
      </c>
      <c r="D333" s="25" t="s">
        <v>203</v>
      </c>
      <c r="E333" s="26" t="s">
        <v>46</v>
      </c>
      <c r="F333" s="27">
        <v>7</v>
      </c>
      <c r="G333" s="28">
        <v>673.58</v>
      </c>
      <c r="H333" s="28">
        <v>43.33</v>
      </c>
      <c r="I333" s="28">
        <f t="shared" si="147"/>
        <v>716.91000000000008</v>
      </c>
      <c r="J333" s="28">
        <f t="shared" si="148"/>
        <v>4715.0600000000004</v>
      </c>
      <c r="K333" s="28">
        <f t="shared" si="149"/>
        <v>303.31</v>
      </c>
      <c r="L333" s="28">
        <f t="shared" si="150"/>
        <v>5018.3700000000008</v>
      </c>
      <c r="M333" s="28">
        <f t="shared" si="151"/>
        <v>6416.99</v>
      </c>
      <c r="N333" s="96"/>
      <c r="O333" s="97"/>
    </row>
    <row r="334" spans="1:15" ht="12.75" customHeight="1" x14ac:dyDescent="0.2">
      <c r="A334" s="23" t="s">
        <v>971</v>
      </c>
      <c r="B334" s="24" t="s">
        <v>972</v>
      </c>
      <c r="C334" s="40" t="s">
        <v>973</v>
      </c>
      <c r="D334" s="25" t="s">
        <v>974</v>
      </c>
      <c r="E334" s="26" t="s">
        <v>76</v>
      </c>
      <c r="F334" s="27">
        <v>3</v>
      </c>
      <c r="G334" s="28">
        <v>570.32000000000005</v>
      </c>
      <c r="H334" s="28">
        <v>51.61</v>
      </c>
      <c r="I334" s="28">
        <f t="shared" si="147"/>
        <v>621.93000000000006</v>
      </c>
      <c r="J334" s="28">
        <f t="shared" si="148"/>
        <v>1710.96</v>
      </c>
      <c r="K334" s="28">
        <f t="shared" si="149"/>
        <v>154.82999999999998</v>
      </c>
      <c r="L334" s="28">
        <f t="shared" si="150"/>
        <v>1865.79</v>
      </c>
      <c r="M334" s="28">
        <f t="shared" si="151"/>
        <v>2385.79</v>
      </c>
      <c r="N334" s="96"/>
      <c r="O334" s="97"/>
    </row>
    <row r="335" spans="1:15" ht="12.75" customHeight="1" x14ac:dyDescent="0.2">
      <c r="A335" s="23" t="s">
        <v>975</v>
      </c>
      <c r="B335" s="24" t="s">
        <v>223</v>
      </c>
      <c r="C335" s="40" t="s">
        <v>224</v>
      </c>
      <c r="D335" s="25" t="s">
        <v>225</v>
      </c>
      <c r="E335" s="26" t="s">
        <v>76</v>
      </c>
      <c r="F335" s="27">
        <v>1</v>
      </c>
      <c r="G335" s="28">
        <v>574.38</v>
      </c>
      <c r="H335" s="28">
        <v>61.25</v>
      </c>
      <c r="I335" s="28">
        <f t="shared" si="147"/>
        <v>635.63</v>
      </c>
      <c r="J335" s="28">
        <f t="shared" si="148"/>
        <v>574.38</v>
      </c>
      <c r="K335" s="28">
        <f t="shared" si="149"/>
        <v>61.25</v>
      </c>
      <c r="L335" s="28">
        <f t="shared" si="150"/>
        <v>635.63</v>
      </c>
      <c r="M335" s="28">
        <f t="shared" si="151"/>
        <v>812.78</v>
      </c>
      <c r="N335" s="96"/>
      <c r="O335" s="97"/>
    </row>
    <row r="336" spans="1:15" ht="12.75" customHeight="1" x14ac:dyDescent="0.2">
      <c r="A336" s="23" t="s">
        <v>976</v>
      </c>
      <c r="B336" s="24" t="s">
        <v>227</v>
      </c>
      <c r="C336" s="40" t="s">
        <v>228</v>
      </c>
      <c r="D336" s="25" t="s">
        <v>229</v>
      </c>
      <c r="E336" s="26" t="s">
        <v>76</v>
      </c>
      <c r="F336" s="27">
        <v>1</v>
      </c>
      <c r="G336" s="28">
        <v>857.22</v>
      </c>
      <c r="H336" s="28">
        <v>103.59</v>
      </c>
      <c r="I336" s="28">
        <f t="shared" si="147"/>
        <v>960.81000000000006</v>
      </c>
      <c r="J336" s="28">
        <f t="shared" si="148"/>
        <v>857.22</v>
      </c>
      <c r="K336" s="28">
        <f t="shared" si="149"/>
        <v>103.59</v>
      </c>
      <c r="L336" s="28">
        <f t="shared" si="150"/>
        <v>960.81000000000006</v>
      </c>
      <c r="M336" s="28">
        <f t="shared" si="151"/>
        <v>1228.5899999999999</v>
      </c>
      <c r="N336" s="96"/>
      <c r="O336" s="97"/>
    </row>
    <row r="337" spans="1:15" ht="12.75" customHeight="1" x14ac:dyDescent="0.2">
      <c r="A337" s="23" t="s">
        <v>977</v>
      </c>
      <c r="B337" s="24" t="s">
        <v>978</v>
      </c>
      <c r="C337" s="40" t="s">
        <v>979</v>
      </c>
      <c r="D337" s="25" t="s">
        <v>980</v>
      </c>
      <c r="E337" s="26" t="s">
        <v>46</v>
      </c>
      <c r="F337" s="27">
        <v>4</v>
      </c>
      <c r="G337" s="28">
        <v>498.83</v>
      </c>
      <c r="H337" s="28">
        <v>7.14</v>
      </c>
      <c r="I337" s="28">
        <f t="shared" si="147"/>
        <v>505.96999999999997</v>
      </c>
      <c r="J337" s="28">
        <f t="shared" si="148"/>
        <v>1995.32</v>
      </c>
      <c r="K337" s="28">
        <f t="shared" si="149"/>
        <v>28.56</v>
      </c>
      <c r="L337" s="28">
        <f t="shared" si="150"/>
        <v>2023.8799999999999</v>
      </c>
      <c r="M337" s="28">
        <f t="shared" si="151"/>
        <v>2587.94</v>
      </c>
      <c r="N337" s="96"/>
      <c r="O337" s="97"/>
    </row>
    <row r="338" spans="1:15" ht="12.75" customHeight="1" x14ac:dyDescent="0.2">
      <c r="A338" s="23" t="s">
        <v>981</v>
      </c>
      <c r="B338" s="24" t="s">
        <v>982</v>
      </c>
      <c r="C338" s="40" t="s">
        <v>232</v>
      </c>
      <c r="D338" s="25" t="s">
        <v>236</v>
      </c>
      <c r="E338" s="26" t="s">
        <v>46</v>
      </c>
      <c r="F338" s="27">
        <v>5.25</v>
      </c>
      <c r="G338" s="28">
        <v>498.83</v>
      </c>
      <c r="H338" s="28">
        <v>7.14</v>
      </c>
      <c r="I338" s="28">
        <f t="shared" si="147"/>
        <v>505.96999999999997</v>
      </c>
      <c r="J338" s="28">
        <f t="shared" si="148"/>
        <v>2618.8575000000001</v>
      </c>
      <c r="K338" s="28">
        <f t="shared" si="149"/>
        <v>37.484999999999999</v>
      </c>
      <c r="L338" s="28">
        <f t="shared" si="150"/>
        <v>2656.3425000000002</v>
      </c>
      <c r="M338" s="28">
        <f t="shared" si="151"/>
        <v>3396.67</v>
      </c>
      <c r="N338" s="96"/>
      <c r="O338" s="97"/>
    </row>
    <row r="339" spans="1:15" ht="12.75" customHeight="1" x14ac:dyDescent="0.2">
      <c r="A339" s="23" t="s">
        <v>983</v>
      </c>
      <c r="B339" s="24" t="s">
        <v>238</v>
      </c>
      <c r="C339" s="40" t="s">
        <v>239</v>
      </c>
      <c r="D339" s="25" t="s">
        <v>240</v>
      </c>
      <c r="E339" s="26" t="s">
        <v>76</v>
      </c>
      <c r="F339" s="27">
        <v>4</v>
      </c>
      <c r="G339" s="28">
        <v>119.57</v>
      </c>
      <c r="H339" s="28">
        <v>17.03</v>
      </c>
      <c r="I339" s="28">
        <f t="shared" si="147"/>
        <v>136.6</v>
      </c>
      <c r="J339" s="28">
        <f t="shared" si="148"/>
        <v>478.28</v>
      </c>
      <c r="K339" s="28">
        <f t="shared" si="149"/>
        <v>68.12</v>
      </c>
      <c r="L339" s="28">
        <f t="shared" si="150"/>
        <v>546.4</v>
      </c>
      <c r="M339" s="28">
        <f t="shared" si="151"/>
        <v>698.68</v>
      </c>
      <c r="N339" s="96"/>
      <c r="O339" s="97"/>
    </row>
    <row r="340" spans="1:15" ht="12.75" customHeight="1" x14ac:dyDescent="0.2">
      <c r="A340" s="41"/>
      <c r="B340" s="42"/>
      <c r="C340" s="101"/>
      <c r="D340" s="44"/>
      <c r="E340" s="45"/>
      <c r="F340" s="46"/>
      <c r="G340" s="46"/>
      <c r="H340" s="46"/>
      <c r="I340" s="46"/>
      <c r="J340" s="46"/>
      <c r="K340" s="46"/>
      <c r="L340" s="46"/>
      <c r="M340" s="46"/>
      <c r="N340" s="98"/>
      <c r="O340" s="4"/>
    </row>
    <row r="341" spans="1:15" ht="12.75" customHeight="1" x14ac:dyDescent="0.2">
      <c r="A341" s="29" t="s">
        <v>984</v>
      </c>
      <c r="B341" s="239" t="s">
        <v>242</v>
      </c>
      <c r="C341" s="240"/>
      <c r="D341" s="47"/>
      <c r="E341" s="48"/>
      <c r="F341" s="49"/>
      <c r="G341" s="33"/>
      <c r="H341" s="33"/>
      <c r="I341" s="33"/>
      <c r="J341" s="33">
        <f t="shared" ref="J341:M341" si="152">SUM(J342:J346)</f>
        <v>5405.375</v>
      </c>
      <c r="K341" s="33">
        <f t="shared" si="152"/>
        <v>2779.67</v>
      </c>
      <c r="L341" s="33">
        <f t="shared" si="152"/>
        <v>8185.0449999999992</v>
      </c>
      <c r="M341" s="33">
        <f t="shared" si="152"/>
        <v>10466.210000000001</v>
      </c>
      <c r="N341" s="93">
        <f>M341</f>
        <v>10466.210000000001</v>
      </c>
      <c r="O341" s="102"/>
    </row>
    <row r="342" spans="1:15" ht="12.75" customHeight="1" x14ac:dyDescent="0.2">
      <c r="A342" s="23" t="s">
        <v>985</v>
      </c>
      <c r="B342" s="24" t="s">
        <v>244</v>
      </c>
      <c r="C342" s="40" t="s">
        <v>245</v>
      </c>
      <c r="D342" s="25" t="s">
        <v>246</v>
      </c>
      <c r="E342" s="26" t="s">
        <v>46</v>
      </c>
      <c r="F342" s="27">
        <f>SUM(F343:F344)</f>
        <v>370</v>
      </c>
      <c r="G342" s="28">
        <v>1.83</v>
      </c>
      <c r="H342" s="28">
        <v>1.04</v>
      </c>
      <c r="I342" s="28">
        <f t="shared" ref="I342:I346" si="153">G342+H342</f>
        <v>2.87</v>
      </c>
      <c r="J342" s="28">
        <f t="shared" ref="J342:J346" si="154">G342*F342</f>
        <v>677.1</v>
      </c>
      <c r="K342" s="28">
        <f t="shared" ref="K342:K346" si="155">H342*F342</f>
        <v>384.8</v>
      </c>
      <c r="L342" s="28">
        <f t="shared" ref="L342:L346" si="156">J342+K342</f>
        <v>1061.9000000000001</v>
      </c>
      <c r="M342" s="28">
        <f t="shared" ref="M342:M346" si="157">ROUND(L342*(1+$M$4),2)</f>
        <v>1357.85</v>
      </c>
      <c r="N342" s="96"/>
      <c r="O342" s="97"/>
    </row>
    <row r="343" spans="1:15" ht="12.75" customHeight="1" x14ac:dyDescent="0.2">
      <c r="A343" s="23" t="s">
        <v>986</v>
      </c>
      <c r="B343" s="24" t="s">
        <v>248</v>
      </c>
      <c r="C343" s="40" t="s">
        <v>249</v>
      </c>
      <c r="D343" s="25" t="s">
        <v>250</v>
      </c>
      <c r="E343" s="26" t="s">
        <v>46</v>
      </c>
      <c r="F343" s="27">
        <v>210</v>
      </c>
      <c r="G343" s="28">
        <v>9.27</v>
      </c>
      <c r="H343" s="28">
        <v>4.4000000000000004</v>
      </c>
      <c r="I343" s="28">
        <f t="shared" si="153"/>
        <v>13.67</v>
      </c>
      <c r="J343" s="28">
        <f t="shared" si="154"/>
        <v>1946.6999999999998</v>
      </c>
      <c r="K343" s="28">
        <f t="shared" si="155"/>
        <v>924.00000000000011</v>
      </c>
      <c r="L343" s="28">
        <f t="shared" si="156"/>
        <v>2870.7</v>
      </c>
      <c r="M343" s="28">
        <f t="shared" si="157"/>
        <v>3670.76</v>
      </c>
      <c r="N343" s="96"/>
      <c r="O343" s="97"/>
    </row>
    <row r="344" spans="1:15" ht="12.75" customHeight="1" x14ac:dyDescent="0.2">
      <c r="A344" s="23" t="s">
        <v>987</v>
      </c>
      <c r="B344" s="24" t="s">
        <v>252</v>
      </c>
      <c r="C344" s="40" t="s">
        <v>249</v>
      </c>
      <c r="D344" s="25" t="s">
        <v>250</v>
      </c>
      <c r="E344" s="26" t="s">
        <v>46</v>
      </c>
      <c r="F344" s="27">
        <v>160</v>
      </c>
      <c r="G344" s="28">
        <v>9.27</v>
      </c>
      <c r="H344" s="28">
        <v>4.4000000000000004</v>
      </c>
      <c r="I344" s="28">
        <f t="shared" si="153"/>
        <v>13.67</v>
      </c>
      <c r="J344" s="28">
        <f t="shared" si="154"/>
        <v>1483.1999999999998</v>
      </c>
      <c r="K344" s="28">
        <f t="shared" si="155"/>
        <v>704</v>
      </c>
      <c r="L344" s="28">
        <f t="shared" si="156"/>
        <v>2187.1999999999998</v>
      </c>
      <c r="M344" s="28">
        <f t="shared" si="157"/>
        <v>2796.77</v>
      </c>
      <c r="N344" s="96"/>
      <c r="O344" s="97"/>
    </row>
    <row r="345" spans="1:15" ht="12.75" customHeight="1" x14ac:dyDescent="0.2">
      <c r="A345" s="23" t="s">
        <v>988</v>
      </c>
      <c r="B345" s="24" t="s">
        <v>254</v>
      </c>
      <c r="C345" s="40" t="s">
        <v>255</v>
      </c>
      <c r="D345" s="25" t="s">
        <v>256</v>
      </c>
      <c r="E345" s="26" t="s">
        <v>46</v>
      </c>
      <c r="F345" s="27">
        <v>110.5</v>
      </c>
      <c r="G345" s="28">
        <v>1.91</v>
      </c>
      <c r="H345" s="28">
        <v>1.2</v>
      </c>
      <c r="I345" s="28">
        <f t="shared" si="153"/>
        <v>3.11</v>
      </c>
      <c r="J345" s="28">
        <f t="shared" si="154"/>
        <v>211.05499999999998</v>
      </c>
      <c r="K345" s="28">
        <f t="shared" si="155"/>
        <v>132.6</v>
      </c>
      <c r="L345" s="28">
        <f t="shared" si="156"/>
        <v>343.65499999999997</v>
      </c>
      <c r="M345" s="28">
        <f t="shared" si="157"/>
        <v>439.43</v>
      </c>
      <c r="N345" s="96"/>
      <c r="O345" s="97"/>
    </row>
    <row r="346" spans="1:15" ht="12.75" customHeight="1" x14ac:dyDescent="0.2">
      <c r="A346" s="23" t="s">
        <v>989</v>
      </c>
      <c r="B346" s="24" t="s">
        <v>254</v>
      </c>
      <c r="C346" s="40" t="s">
        <v>258</v>
      </c>
      <c r="D346" s="25" t="s">
        <v>259</v>
      </c>
      <c r="E346" s="26" t="s">
        <v>46</v>
      </c>
      <c r="F346" s="27">
        <v>110.5</v>
      </c>
      <c r="G346" s="28">
        <v>9.84</v>
      </c>
      <c r="H346" s="28">
        <v>5.74</v>
      </c>
      <c r="I346" s="28">
        <f t="shared" si="153"/>
        <v>15.58</v>
      </c>
      <c r="J346" s="28">
        <f t="shared" si="154"/>
        <v>1087.32</v>
      </c>
      <c r="K346" s="28">
        <f t="shared" si="155"/>
        <v>634.27</v>
      </c>
      <c r="L346" s="28">
        <f t="shared" si="156"/>
        <v>1721.59</v>
      </c>
      <c r="M346" s="28">
        <f t="shared" si="157"/>
        <v>2201.4</v>
      </c>
      <c r="N346" s="96"/>
      <c r="O346" s="97"/>
    </row>
    <row r="347" spans="1:15" ht="12.75" customHeight="1" x14ac:dyDescent="0.2">
      <c r="A347" s="23"/>
      <c r="B347" s="24"/>
      <c r="C347" s="40"/>
      <c r="D347" s="25"/>
      <c r="E347" s="26"/>
      <c r="F347" s="27"/>
      <c r="G347" s="28"/>
      <c r="H347" s="28"/>
      <c r="I347" s="28"/>
      <c r="J347" s="28"/>
      <c r="K347" s="28"/>
      <c r="L347" s="28"/>
      <c r="M347" s="28"/>
      <c r="N347" s="96"/>
      <c r="O347" s="97"/>
    </row>
    <row r="348" spans="1:15" ht="12.75" customHeight="1" x14ac:dyDescent="0.2">
      <c r="A348" s="29" t="s">
        <v>990</v>
      </c>
      <c r="B348" s="239" t="s">
        <v>261</v>
      </c>
      <c r="C348" s="240"/>
      <c r="D348" s="47"/>
      <c r="E348" s="48"/>
      <c r="F348" s="49"/>
      <c r="G348" s="33"/>
      <c r="H348" s="33"/>
      <c r="I348" s="33"/>
      <c r="J348" s="33">
        <f t="shared" ref="J348:M348" si="158">SUM(J349:J356)</f>
        <v>19412.844279999998</v>
      </c>
      <c r="K348" s="33">
        <f t="shared" si="158"/>
        <v>2494.7939999999999</v>
      </c>
      <c r="L348" s="33">
        <f t="shared" si="158"/>
        <v>21907.638279999999</v>
      </c>
      <c r="M348" s="33">
        <f t="shared" si="158"/>
        <v>28013.29</v>
      </c>
      <c r="N348" s="93">
        <f>M348</f>
        <v>28013.29</v>
      </c>
      <c r="O348" s="102"/>
    </row>
    <row r="349" spans="1:15" ht="12.75" customHeight="1" x14ac:dyDescent="0.2">
      <c r="A349" s="103" t="s">
        <v>991</v>
      </c>
      <c r="B349" s="104" t="s">
        <v>992</v>
      </c>
      <c r="C349" s="105">
        <v>101159</v>
      </c>
      <c r="D349" s="106" t="s">
        <v>264</v>
      </c>
      <c r="E349" s="107" t="s">
        <v>46</v>
      </c>
      <c r="F349" s="108">
        <v>11</v>
      </c>
      <c r="G349" s="109">
        <v>78.62</v>
      </c>
      <c r="H349" s="109">
        <v>51</v>
      </c>
      <c r="I349" s="109">
        <f t="shared" ref="I349:I351" si="159">SUM(G349:H349)</f>
        <v>129.62</v>
      </c>
      <c r="J349" s="109">
        <f t="shared" ref="J349:J356" si="160">G349*F349</f>
        <v>864.82</v>
      </c>
      <c r="K349" s="109">
        <f t="shared" ref="K349:K356" si="161">H349*F349</f>
        <v>561</v>
      </c>
      <c r="L349" s="109">
        <f t="shared" ref="L349:L351" si="162">I349*F349</f>
        <v>1425.8200000000002</v>
      </c>
      <c r="M349" s="109">
        <f t="shared" ref="M349:M356" si="163">ROUND(L349*(1+$M$4),2)</f>
        <v>1823.2</v>
      </c>
      <c r="N349" s="110"/>
      <c r="O349" s="111"/>
    </row>
    <row r="350" spans="1:15" ht="12.75" customHeight="1" x14ac:dyDescent="0.2">
      <c r="A350" s="103" t="s">
        <v>993</v>
      </c>
      <c r="B350" s="104" t="s">
        <v>268</v>
      </c>
      <c r="C350" s="105">
        <v>87879</v>
      </c>
      <c r="D350" s="106" t="s">
        <v>269</v>
      </c>
      <c r="E350" s="107" t="s">
        <v>46</v>
      </c>
      <c r="F350" s="108">
        <v>24.5</v>
      </c>
      <c r="G350" s="109">
        <v>1.96</v>
      </c>
      <c r="H350" s="109">
        <v>1.68</v>
      </c>
      <c r="I350" s="109">
        <f t="shared" si="159"/>
        <v>3.6399999999999997</v>
      </c>
      <c r="J350" s="109">
        <f t="shared" si="160"/>
        <v>48.019999999999996</v>
      </c>
      <c r="K350" s="109">
        <f t="shared" si="161"/>
        <v>41.16</v>
      </c>
      <c r="L350" s="109">
        <f t="shared" si="162"/>
        <v>89.179999999999993</v>
      </c>
      <c r="M350" s="109">
        <f t="shared" si="163"/>
        <v>114.03</v>
      </c>
      <c r="N350" s="110"/>
      <c r="O350" s="111"/>
    </row>
    <row r="351" spans="1:15" ht="12.75" customHeight="1" x14ac:dyDescent="0.2">
      <c r="A351" s="103" t="s">
        <v>994</v>
      </c>
      <c r="B351" s="104" t="s">
        <v>271</v>
      </c>
      <c r="C351" s="105">
        <v>87794</v>
      </c>
      <c r="D351" s="106" t="s">
        <v>272</v>
      </c>
      <c r="E351" s="107" t="s">
        <v>46</v>
      </c>
      <c r="F351" s="108">
        <v>24.5</v>
      </c>
      <c r="G351" s="109">
        <v>20.63</v>
      </c>
      <c r="H351" s="109">
        <v>17.14</v>
      </c>
      <c r="I351" s="109">
        <f t="shared" si="159"/>
        <v>37.769999999999996</v>
      </c>
      <c r="J351" s="109">
        <f t="shared" si="160"/>
        <v>505.435</v>
      </c>
      <c r="K351" s="109">
        <f t="shared" si="161"/>
        <v>419.93</v>
      </c>
      <c r="L351" s="109">
        <f t="shared" si="162"/>
        <v>925.3649999999999</v>
      </c>
      <c r="M351" s="109">
        <f t="shared" si="163"/>
        <v>1183.26</v>
      </c>
      <c r="N351" s="110"/>
      <c r="O351" s="111"/>
    </row>
    <row r="352" spans="1:15" ht="12.75" customHeight="1" x14ac:dyDescent="0.2">
      <c r="A352" s="103" t="s">
        <v>995</v>
      </c>
      <c r="B352" s="104" t="s">
        <v>274</v>
      </c>
      <c r="C352" s="105" t="s">
        <v>275</v>
      </c>
      <c r="D352" s="106" t="s">
        <v>276</v>
      </c>
      <c r="E352" s="107" t="s">
        <v>46</v>
      </c>
      <c r="F352" s="108">
        <v>24.5</v>
      </c>
      <c r="G352" s="109">
        <v>1.63</v>
      </c>
      <c r="H352" s="109">
        <v>0.54</v>
      </c>
      <c r="I352" s="109">
        <f t="shared" ref="I352:I354" si="164">G352+H352</f>
        <v>2.17</v>
      </c>
      <c r="J352" s="109">
        <f t="shared" si="160"/>
        <v>39.934999999999995</v>
      </c>
      <c r="K352" s="109">
        <f t="shared" si="161"/>
        <v>13.23</v>
      </c>
      <c r="L352" s="109">
        <f t="shared" ref="L352:L354" si="165">J352+K352</f>
        <v>53.164999999999992</v>
      </c>
      <c r="M352" s="109">
        <f t="shared" si="163"/>
        <v>67.98</v>
      </c>
      <c r="N352" s="110"/>
      <c r="O352" s="111"/>
    </row>
    <row r="353" spans="1:15" ht="12.75" customHeight="1" x14ac:dyDescent="0.2">
      <c r="A353" s="103" t="s">
        <v>996</v>
      </c>
      <c r="B353" s="104" t="s">
        <v>278</v>
      </c>
      <c r="C353" s="105" t="s">
        <v>249</v>
      </c>
      <c r="D353" s="106" t="s">
        <v>250</v>
      </c>
      <c r="E353" s="107" t="s">
        <v>46</v>
      </c>
      <c r="F353" s="108">
        <v>24.5</v>
      </c>
      <c r="G353" s="109">
        <v>9.27</v>
      </c>
      <c r="H353" s="109">
        <v>4.4000000000000004</v>
      </c>
      <c r="I353" s="109">
        <f t="shared" si="164"/>
        <v>13.67</v>
      </c>
      <c r="J353" s="109">
        <f t="shared" si="160"/>
        <v>227.11499999999998</v>
      </c>
      <c r="K353" s="109">
        <f t="shared" si="161"/>
        <v>107.80000000000001</v>
      </c>
      <c r="L353" s="109">
        <f t="shared" si="165"/>
        <v>334.91499999999996</v>
      </c>
      <c r="M353" s="109">
        <f t="shared" si="163"/>
        <v>428.26</v>
      </c>
      <c r="N353" s="110"/>
      <c r="O353" s="111"/>
    </row>
    <row r="354" spans="1:15" ht="12.75" customHeight="1" x14ac:dyDescent="0.2">
      <c r="A354" s="103" t="s">
        <v>997</v>
      </c>
      <c r="B354" s="104" t="s">
        <v>280</v>
      </c>
      <c r="C354" s="105" t="s">
        <v>182</v>
      </c>
      <c r="D354" s="106" t="s">
        <v>183</v>
      </c>
      <c r="E354" s="107" t="s">
        <v>46</v>
      </c>
      <c r="F354" s="108">
        <v>25.6</v>
      </c>
      <c r="G354" s="109">
        <v>66.88</v>
      </c>
      <c r="H354" s="109">
        <v>8.02</v>
      </c>
      <c r="I354" s="109">
        <f t="shared" si="164"/>
        <v>74.899999999999991</v>
      </c>
      <c r="J354" s="109">
        <f t="shared" si="160"/>
        <v>1712.1279999999999</v>
      </c>
      <c r="K354" s="109">
        <f t="shared" si="161"/>
        <v>205.31200000000001</v>
      </c>
      <c r="L354" s="109">
        <f t="shared" si="165"/>
        <v>1917.44</v>
      </c>
      <c r="M354" s="109">
        <f t="shared" si="163"/>
        <v>2451.83</v>
      </c>
      <c r="N354" s="110"/>
      <c r="O354" s="111"/>
    </row>
    <row r="355" spans="1:15" ht="12.75" customHeight="1" x14ac:dyDescent="0.2">
      <c r="A355" s="103" t="s">
        <v>998</v>
      </c>
      <c r="B355" s="104" t="s">
        <v>282</v>
      </c>
      <c r="C355" s="105" t="s">
        <v>283</v>
      </c>
      <c r="D355" s="106" t="s">
        <v>284</v>
      </c>
      <c r="E355" s="107" t="s">
        <v>46</v>
      </c>
      <c r="F355" s="108">
        <v>18.2</v>
      </c>
      <c r="G355" s="109">
        <v>141.41</v>
      </c>
      <c r="H355" s="109">
        <v>23.43</v>
      </c>
      <c r="I355" s="109">
        <f>SUM(G355:H355)</f>
        <v>164.84</v>
      </c>
      <c r="J355" s="109">
        <f t="shared" si="160"/>
        <v>2573.6619999999998</v>
      </c>
      <c r="K355" s="109">
        <f t="shared" si="161"/>
        <v>426.42599999999999</v>
      </c>
      <c r="L355" s="109">
        <f>I355*F355</f>
        <v>3000.0879999999997</v>
      </c>
      <c r="M355" s="109">
        <f t="shared" si="163"/>
        <v>3836.21</v>
      </c>
      <c r="N355" s="110"/>
      <c r="O355" s="111"/>
    </row>
    <row r="356" spans="1:15" ht="12.75" customHeight="1" x14ac:dyDescent="0.2">
      <c r="A356" s="103" t="s">
        <v>999</v>
      </c>
      <c r="B356" s="104" t="s">
        <v>286</v>
      </c>
      <c r="C356" s="105" t="s">
        <v>287</v>
      </c>
      <c r="D356" s="106" t="s">
        <v>288</v>
      </c>
      <c r="E356" s="107" t="s">
        <v>46</v>
      </c>
      <c r="F356" s="108">
        <v>22.4</v>
      </c>
      <c r="G356" s="109">
        <v>600.07719999999995</v>
      </c>
      <c r="H356" s="109">
        <v>32.14</v>
      </c>
      <c r="I356" s="109">
        <f>G356+H356</f>
        <v>632.21719999999993</v>
      </c>
      <c r="J356" s="109">
        <f t="shared" si="160"/>
        <v>13441.729279999998</v>
      </c>
      <c r="K356" s="109">
        <f t="shared" si="161"/>
        <v>719.93599999999992</v>
      </c>
      <c r="L356" s="109">
        <f>J356+K356</f>
        <v>14161.665279999997</v>
      </c>
      <c r="M356" s="109">
        <f t="shared" si="163"/>
        <v>18108.52</v>
      </c>
      <c r="N356" s="110"/>
      <c r="O356" s="111"/>
    </row>
    <row r="357" spans="1:15" ht="12.75" customHeight="1" x14ac:dyDescent="0.2">
      <c r="A357" s="41"/>
      <c r="B357" s="42"/>
      <c r="C357" s="101"/>
      <c r="D357" s="44"/>
      <c r="E357" s="45"/>
      <c r="F357" s="46"/>
      <c r="G357" s="46"/>
      <c r="H357" s="46"/>
      <c r="I357" s="46"/>
      <c r="J357" s="46"/>
      <c r="K357" s="46"/>
      <c r="L357" s="46"/>
      <c r="M357" s="46"/>
      <c r="N357" s="98"/>
      <c r="O357" s="4"/>
    </row>
    <row r="358" spans="1:15" ht="12.75" customHeight="1" x14ac:dyDescent="0.2">
      <c r="A358" s="29" t="s">
        <v>1000</v>
      </c>
      <c r="B358" s="239" t="s">
        <v>290</v>
      </c>
      <c r="C358" s="240"/>
      <c r="D358" s="47"/>
      <c r="E358" s="48"/>
      <c r="F358" s="49"/>
      <c r="G358" s="33"/>
      <c r="H358" s="33"/>
      <c r="I358" s="33"/>
      <c r="J358" s="33">
        <f t="shared" ref="J358:M358" si="166">SUM(J359:J380)</f>
        <v>14133.630000000001</v>
      </c>
      <c r="K358" s="33">
        <f t="shared" si="166"/>
        <v>5548.380000000001</v>
      </c>
      <c r="L358" s="33">
        <f t="shared" si="166"/>
        <v>19682.009999999998</v>
      </c>
      <c r="M358" s="33">
        <f t="shared" si="166"/>
        <v>25167.4</v>
      </c>
      <c r="N358" s="93">
        <f>M358</f>
        <v>25167.4</v>
      </c>
      <c r="O358" s="102"/>
    </row>
    <row r="359" spans="1:15" ht="12.75" customHeight="1" x14ac:dyDescent="0.2">
      <c r="A359" s="23" t="s">
        <v>1001</v>
      </c>
      <c r="B359" s="24" t="s">
        <v>292</v>
      </c>
      <c r="C359" s="40" t="s">
        <v>293</v>
      </c>
      <c r="D359" s="25" t="s">
        <v>294</v>
      </c>
      <c r="E359" s="26" t="s">
        <v>171</v>
      </c>
      <c r="F359" s="27">
        <v>350</v>
      </c>
      <c r="G359" s="28">
        <v>2.0099999999999998</v>
      </c>
      <c r="H359" s="28">
        <v>0.78</v>
      </c>
      <c r="I359" s="28">
        <f t="shared" ref="I359:I380" si="167">G359+H359</f>
        <v>2.79</v>
      </c>
      <c r="J359" s="28">
        <f t="shared" ref="J359:J380" si="168">G359*F359</f>
        <v>703.49999999999989</v>
      </c>
      <c r="K359" s="28">
        <f t="shared" ref="K359:K380" si="169">H359*F359</f>
        <v>273</v>
      </c>
      <c r="L359" s="28">
        <f t="shared" ref="L359:L380" si="170">J359+K359</f>
        <v>976.49999999999989</v>
      </c>
      <c r="M359" s="28">
        <f t="shared" ref="M359:M380" si="171">ROUND(L359*(1+$M$4),2)</f>
        <v>1248.6500000000001</v>
      </c>
      <c r="N359" s="96"/>
      <c r="O359" s="97"/>
    </row>
    <row r="360" spans="1:15" ht="12.75" customHeight="1" x14ac:dyDescent="0.2">
      <c r="A360" s="23" t="s">
        <v>1002</v>
      </c>
      <c r="B360" s="24" t="s">
        <v>292</v>
      </c>
      <c r="C360" s="40" t="s">
        <v>296</v>
      </c>
      <c r="D360" s="25" t="s">
        <v>297</v>
      </c>
      <c r="E360" s="26" t="s">
        <v>171</v>
      </c>
      <c r="F360" s="27">
        <v>600</v>
      </c>
      <c r="G360" s="28">
        <v>3.08</v>
      </c>
      <c r="H360" s="28">
        <v>0.96</v>
      </c>
      <c r="I360" s="28">
        <f t="shared" si="167"/>
        <v>4.04</v>
      </c>
      <c r="J360" s="28">
        <f t="shared" si="168"/>
        <v>1848</v>
      </c>
      <c r="K360" s="28">
        <f t="shared" si="169"/>
        <v>576</v>
      </c>
      <c r="L360" s="28">
        <f t="shared" si="170"/>
        <v>2424</v>
      </c>
      <c r="M360" s="28">
        <f t="shared" si="171"/>
        <v>3099.57</v>
      </c>
      <c r="N360" s="96"/>
      <c r="O360" s="97"/>
    </row>
    <row r="361" spans="1:15" ht="12.75" customHeight="1" x14ac:dyDescent="0.2">
      <c r="A361" s="23" t="s">
        <v>1003</v>
      </c>
      <c r="B361" s="24" t="s">
        <v>292</v>
      </c>
      <c r="C361" s="40" t="s">
        <v>299</v>
      </c>
      <c r="D361" s="25" t="s">
        <v>300</v>
      </c>
      <c r="E361" s="26" t="s">
        <v>171</v>
      </c>
      <c r="F361" s="27">
        <v>200</v>
      </c>
      <c r="G361" s="28">
        <v>5.3</v>
      </c>
      <c r="H361" s="28">
        <v>1.27</v>
      </c>
      <c r="I361" s="28">
        <f t="shared" si="167"/>
        <v>6.57</v>
      </c>
      <c r="J361" s="28">
        <f t="shared" si="168"/>
        <v>1060</v>
      </c>
      <c r="K361" s="28">
        <f t="shared" si="169"/>
        <v>254</v>
      </c>
      <c r="L361" s="28">
        <f t="shared" si="170"/>
        <v>1314</v>
      </c>
      <c r="M361" s="28">
        <f t="shared" si="171"/>
        <v>1680.21</v>
      </c>
      <c r="N361" s="96"/>
      <c r="O361" s="97"/>
    </row>
    <row r="362" spans="1:15" ht="12.75" customHeight="1" x14ac:dyDescent="0.2">
      <c r="A362" s="23" t="s">
        <v>1004</v>
      </c>
      <c r="B362" s="24" t="s">
        <v>292</v>
      </c>
      <c r="C362" s="40" t="s">
        <v>308</v>
      </c>
      <c r="D362" s="25" t="s">
        <v>309</v>
      </c>
      <c r="E362" s="26" t="s">
        <v>171</v>
      </c>
      <c r="F362" s="27">
        <v>50</v>
      </c>
      <c r="G362" s="28">
        <v>18.89</v>
      </c>
      <c r="H362" s="28">
        <v>3.72</v>
      </c>
      <c r="I362" s="28">
        <f t="shared" si="167"/>
        <v>22.61</v>
      </c>
      <c r="J362" s="28">
        <f t="shared" si="168"/>
        <v>944.5</v>
      </c>
      <c r="K362" s="28">
        <f t="shared" si="169"/>
        <v>186</v>
      </c>
      <c r="L362" s="28">
        <f t="shared" si="170"/>
        <v>1130.5</v>
      </c>
      <c r="M362" s="28">
        <f t="shared" si="171"/>
        <v>1445.57</v>
      </c>
      <c r="N362" s="96"/>
      <c r="O362" s="97"/>
    </row>
    <row r="363" spans="1:15" ht="12.75" customHeight="1" x14ac:dyDescent="0.2">
      <c r="A363" s="23" t="s">
        <v>1005</v>
      </c>
      <c r="B363" s="24" t="s">
        <v>326</v>
      </c>
      <c r="C363" s="40" t="s">
        <v>327</v>
      </c>
      <c r="D363" s="25" t="s">
        <v>328</v>
      </c>
      <c r="E363" s="26" t="s">
        <v>14</v>
      </c>
      <c r="F363" s="27">
        <v>7</v>
      </c>
      <c r="G363" s="28">
        <v>18.93</v>
      </c>
      <c r="H363" s="28">
        <v>9.64</v>
      </c>
      <c r="I363" s="28">
        <f t="shared" si="167"/>
        <v>28.57</v>
      </c>
      <c r="J363" s="28">
        <f t="shared" si="168"/>
        <v>132.51</v>
      </c>
      <c r="K363" s="28">
        <f t="shared" si="169"/>
        <v>67.48</v>
      </c>
      <c r="L363" s="28">
        <f t="shared" si="170"/>
        <v>199.99</v>
      </c>
      <c r="M363" s="28">
        <f t="shared" si="171"/>
        <v>255.73</v>
      </c>
      <c r="N363" s="96"/>
      <c r="O363" s="97"/>
    </row>
    <row r="364" spans="1:15" ht="12.75" customHeight="1" x14ac:dyDescent="0.2">
      <c r="A364" s="23" t="s">
        <v>1006</v>
      </c>
      <c r="B364" s="24" t="s">
        <v>338</v>
      </c>
      <c r="C364" s="40" t="s">
        <v>339</v>
      </c>
      <c r="D364" s="25" t="s">
        <v>340</v>
      </c>
      <c r="E364" s="26" t="s">
        <v>14</v>
      </c>
      <c r="F364" s="27">
        <v>31</v>
      </c>
      <c r="G364" s="28">
        <v>35.07</v>
      </c>
      <c r="H364" s="28">
        <v>20.32</v>
      </c>
      <c r="I364" s="28">
        <f t="shared" si="167"/>
        <v>55.39</v>
      </c>
      <c r="J364" s="28">
        <f t="shared" si="168"/>
        <v>1087.17</v>
      </c>
      <c r="K364" s="28">
        <f t="shared" si="169"/>
        <v>629.91999999999996</v>
      </c>
      <c r="L364" s="28">
        <f t="shared" si="170"/>
        <v>1717.0900000000001</v>
      </c>
      <c r="M364" s="28">
        <f t="shared" si="171"/>
        <v>2195.64</v>
      </c>
      <c r="N364" s="96"/>
      <c r="O364" s="97"/>
    </row>
    <row r="365" spans="1:15" ht="12.75" customHeight="1" x14ac:dyDescent="0.2">
      <c r="A365" s="23" t="s">
        <v>1007</v>
      </c>
      <c r="B365" s="24" t="s">
        <v>350</v>
      </c>
      <c r="C365" s="40" t="s">
        <v>351</v>
      </c>
      <c r="D365" s="25" t="s">
        <v>352</v>
      </c>
      <c r="E365" s="26" t="s">
        <v>14</v>
      </c>
      <c r="F365" s="27">
        <v>38</v>
      </c>
      <c r="G365" s="28">
        <v>15.13</v>
      </c>
      <c r="H365" s="28">
        <v>11.12</v>
      </c>
      <c r="I365" s="28">
        <f t="shared" si="167"/>
        <v>26.25</v>
      </c>
      <c r="J365" s="28">
        <f t="shared" si="168"/>
        <v>574.94000000000005</v>
      </c>
      <c r="K365" s="28">
        <f t="shared" si="169"/>
        <v>422.55999999999995</v>
      </c>
      <c r="L365" s="28">
        <f t="shared" si="170"/>
        <v>997.5</v>
      </c>
      <c r="M365" s="28">
        <f t="shared" si="171"/>
        <v>1275.5</v>
      </c>
      <c r="N365" s="96"/>
      <c r="O365" s="97"/>
    </row>
    <row r="366" spans="1:15" ht="12.75" customHeight="1" x14ac:dyDescent="0.2">
      <c r="A366" s="23" t="s">
        <v>1008</v>
      </c>
      <c r="B366" s="24" t="s">
        <v>354</v>
      </c>
      <c r="C366" s="40" t="s">
        <v>351</v>
      </c>
      <c r="D366" s="25" t="s">
        <v>352</v>
      </c>
      <c r="E366" s="26" t="s">
        <v>14</v>
      </c>
      <c r="F366" s="27">
        <v>3</v>
      </c>
      <c r="G366" s="28">
        <v>15.13</v>
      </c>
      <c r="H366" s="28">
        <v>11.12</v>
      </c>
      <c r="I366" s="28">
        <f t="shared" si="167"/>
        <v>26.25</v>
      </c>
      <c r="J366" s="28">
        <f t="shared" si="168"/>
        <v>45.39</v>
      </c>
      <c r="K366" s="28">
        <f t="shared" si="169"/>
        <v>33.36</v>
      </c>
      <c r="L366" s="28">
        <f t="shared" si="170"/>
        <v>78.75</v>
      </c>
      <c r="M366" s="28">
        <f t="shared" si="171"/>
        <v>100.7</v>
      </c>
      <c r="N366" s="96"/>
      <c r="O366" s="97"/>
    </row>
    <row r="367" spans="1:15" ht="12.75" customHeight="1" x14ac:dyDescent="0.2">
      <c r="A367" s="23" t="s">
        <v>1009</v>
      </c>
      <c r="B367" s="24" t="s">
        <v>356</v>
      </c>
      <c r="C367" s="40" t="s">
        <v>357</v>
      </c>
      <c r="D367" s="25" t="s">
        <v>358</v>
      </c>
      <c r="E367" s="26" t="s">
        <v>14</v>
      </c>
      <c r="F367" s="27">
        <v>7</v>
      </c>
      <c r="G367" s="28">
        <v>35.409999999999997</v>
      </c>
      <c r="H367" s="28">
        <v>11.2</v>
      </c>
      <c r="I367" s="28">
        <f t="shared" si="167"/>
        <v>46.61</v>
      </c>
      <c r="J367" s="28">
        <f t="shared" si="168"/>
        <v>247.86999999999998</v>
      </c>
      <c r="K367" s="28">
        <f t="shared" si="169"/>
        <v>78.399999999999991</v>
      </c>
      <c r="L367" s="28">
        <f t="shared" si="170"/>
        <v>326.27</v>
      </c>
      <c r="M367" s="28">
        <f t="shared" si="171"/>
        <v>417.2</v>
      </c>
      <c r="N367" s="96"/>
      <c r="O367" s="97"/>
    </row>
    <row r="368" spans="1:15" ht="12.75" customHeight="1" x14ac:dyDescent="0.2">
      <c r="A368" s="23" t="s">
        <v>1010</v>
      </c>
      <c r="B368" s="24" t="s">
        <v>387</v>
      </c>
      <c r="C368" s="40" t="s">
        <v>388</v>
      </c>
      <c r="D368" s="25" t="s">
        <v>389</v>
      </c>
      <c r="E368" s="26" t="s">
        <v>171</v>
      </c>
      <c r="F368" s="27">
        <v>235</v>
      </c>
      <c r="G368" s="28">
        <v>18.86</v>
      </c>
      <c r="H368" s="28">
        <v>9.7100000000000009</v>
      </c>
      <c r="I368" s="28">
        <f t="shared" si="167"/>
        <v>28.57</v>
      </c>
      <c r="J368" s="28">
        <f t="shared" si="168"/>
        <v>4432.0999999999995</v>
      </c>
      <c r="K368" s="28">
        <f t="shared" si="169"/>
        <v>2281.8500000000004</v>
      </c>
      <c r="L368" s="28">
        <f t="shared" si="170"/>
        <v>6713.95</v>
      </c>
      <c r="M368" s="28">
        <f t="shared" si="171"/>
        <v>8585.1299999999992</v>
      </c>
      <c r="N368" s="96"/>
      <c r="O368" s="97"/>
    </row>
    <row r="369" spans="1:15" ht="12.75" customHeight="1" x14ac:dyDescent="0.2">
      <c r="A369" s="23" t="s">
        <v>1011</v>
      </c>
      <c r="B369" s="24" t="s">
        <v>391</v>
      </c>
      <c r="C369" s="40" t="s">
        <v>392</v>
      </c>
      <c r="D369" s="25" t="s">
        <v>393</v>
      </c>
      <c r="E369" s="26" t="s">
        <v>171</v>
      </c>
      <c r="F369" s="27">
        <v>20</v>
      </c>
      <c r="G369" s="28">
        <v>21.46</v>
      </c>
      <c r="H369" s="28">
        <v>6.25</v>
      </c>
      <c r="I369" s="28">
        <f t="shared" si="167"/>
        <v>27.71</v>
      </c>
      <c r="J369" s="28">
        <f t="shared" si="168"/>
        <v>429.20000000000005</v>
      </c>
      <c r="K369" s="28">
        <f t="shared" si="169"/>
        <v>125</v>
      </c>
      <c r="L369" s="28">
        <f t="shared" si="170"/>
        <v>554.20000000000005</v>
      </c>
      <c r="M369" s="28">
        <f t="shared" si="171"/>
        <v>708.66</v>
      </c>
      <c r="N369" s="96"/>
      <c r="O369" s="97"/>
    </row>
    <row r="370" spans="1:15" ht="12.75" customHeight="1" x14ac:dyDescent="0.2">
      <c r="A370" s="23" t="s">
        <v>1012</v>
      </c>
      <c r="B370" s="24" t="s">
        <v>395</v>
      </c>
      <c r="C370" s="40" t="s">
        <v>396</v>
      </c>
      <c r="D370" s="25" t="s">
        <v>397</v>
      </c>
      <c r="E370" s="26" t="s">
        <v>171</v>
      </c>
      <c r="F370" s="27">
        <v>6</v>
      </c>
      <c r="G370" s="28">
        <v>42.13</v>
      </c>
      <c r="H370" s="28">
        <v>13.42</v>
      </c>
      <c r="I370" s="28">
        <f t="shared" si="167"/>
        <v>55.550000000000004</v>
      </c>
      <c r="J370" s="28">
        <f t="shared" si="168"/>
        <v>252.78000000000003</v>
      </c>
      <c r="K370" s="28">
        <f t="shared" si="169"/>
        <v>80.52</v>
      </c>
      <c r="L370" s="28">
        <f t="shared" si="170"/>
        <v>333.3</v>
      </c>
      <c r="M370" s="28">
        <f t="shared" si="171"/>
        <v>426.19</v>
      </c>
      <c r="N370" s="96"/>
      <c r="O370" s="97"/>
    </row>
    <row r="371" spans="1:15" ht="12.75" customHeight="1" x14ac:dyDescent="0.2">
      <c r="A371" s="23" t="s">
        <v>1013</v>
      </c>
      <c r="B371" s="24" t="s">
        <v>399</v>
      </c>
      <c r="C371" s="40" t="s">
        <v>400</v>
      </c>
      <c r="D371" s="25" t="s">
        <v>401</v>
      </c>
      <c r="E371" s="26" t="s">
        <v>14</v>
      </c>
      <c r="F371" s="27">
        <v>32</v>
      </c>
      <c r="G371" s="28">
        <v>24.38</v>
      </c>
      <c r="H371" s="28">
        <v>13.16</v>
      </c>
      <c r="I371" s="28">
        <f t="shared" si="167"/>
        <v>37.54</v>
      </c>
      <c r="J371" s="28">
        <f t="shared" si="168"/>
        <v>780.16</v>
      </c>
      <c r="K371" s="28">
        <f t="shared" si="169"/>
        <v>421.12</v>
      </c>
      <c r="L371" s="28">
        <f t="shared" si="170"/>
        <v>1201.28</v>
      </c>
      <c r="M371" s="28">
        <f t="shared" si="171"/>
        <v>1536.08</v>
      </c>
      <c r="N371" s="96"/>
      <c r="O371" s="97"/>
    </row>
    <row r="372" spans="1:15" ht="12.75" customHeight="1" x14ac:dyDescent="0.2">
      <c r="A372" s="23" t="s">
        <v>1014</v>
      </c>
      <c r="B372" s="24" t="s">
        <v>403</v>
      </c>
      <c r="C372" s="40" t="s">
        <v>1015</v>
      </c>
      <c r="D372" s="25" t="s">
        <v>1016</v>
      </c>
      <c r="E372" s="26" t="s">
        <v>14</v>
      </c>
      <c r="F372" s="27">
        <v>2</v>
      </c>
      <c r="G372" s="28">
        <v>49.4</v>
      </c>
      <c r="H372" s="28">
        <v>4.9000000000000004</v>
      </c>
      <c r="I372" s="28">
        <f t="shared" si="167"/>
        <v>54.3</v>
      </c>
      <c r="J372" s="28">
        <f t="shared" si="168"/>
        <v>98.8</v>
      </c>
      <c r="K372" s="28">
        <f t="shared" si="169"/>
        <v>9.8000000000000007</v>
      </c>
      <c r="L372" s="28">
        <f t="shared" si="170"/>
        <v>108.6</v>
      </c>
      <c r="M372" s="28">
        <f t="shared" si="171"/>
        <v>138.87</v>
      </c>
      <c r="N372" s="96"/>
      <c r="O372" s="97"/>
    </row>
    <row r="373" spans="1:15" ht="12.75" customHeight="1" x14ac:dyDescent="0.2">
      <c r="A373" s="23" t="s">
        <v>1017</v>
      </c>
      <c r="B373" s="24" t="s">
        <v>415</v>
      </c>
      <c r="C373" s="40" t="s">
        <v>416</v>
      </c>
      <c r="D373" s="25" t="s">
        <v>417</v>
      </c>
      <c r="E373" s="26" t="s">
        <v>14</v>
      </c>
      <c r="F373" s="27">
        <v>1</v>
      </c>
      <c r="G373" s="28">
        <v>12.12</v>
      </c>
      <c r="H373" s="28">
        <v>1.1100000000000001</v>
      </c>
      <c r="I373" s="28">
        <f t="shared" si="167"/>
        <v>13.229999999999999</v>
      </c>
      <c r="J373" s="28">
        <f t="shared" si="168"/>
        <v>12.12</v>
      </c>
      <c r="K373" s="28">
        <f t="shared" si="169"/>
        <v>1.1100000000000001</v>
      </c>
      <c r="L373" s="28">
        <f t="shared" si="170"/>
        <v>13.229999999999999</v>
      </c>
      <c r="M373" s="28">
        <f t="shared" si="171"/>
        <v>16.920000000000002</v>
      </c>
      <c r="N373" s="96"/>
      <c r="O373" s="97"/>
    </row>
    <row r="374" spans="1:15" ht="12.75" customHeight="1" x14ac:dyDescent="0.2">
      <c r="A374" s="23" t="s">
        <v>1018</v>
      </c>
      <c r="B374" s="24" t="s">
        <v>419</v>
      </c>
      <c r="C374" s="40" t="s">
        <v>420</v>
      </c>
      <c r="D374" s="25" t="s">
        <v>421</v>
      </c>
      <c r="E374" s="26" t="s">
        <v>14</v>
      </c>
      <c r="F374" s="27">
        <v>4</v>
      </c>
      <c r="G374" s="28">
        <v>12.29</v>
      </c>
      <c r="H374" s="28">
        <v>1.51</v>
      </c>
      <c r="I374" s="28">
        <f t="shared" si="167"/>
        <v>13.799999999999999</v>
      </c>
      <c r="J374" s="28">
        <f t="shared" si="168"/>
        <v>49.16</v>
      </c>
      <c r="K374" s="28">
        <f t="shared" si="169"/>
        <v>6.04</v>
      </c>
      <c r="L374" s="28">
        <f t="shared" si="170"/>
        <v>55.199999999999996</v>
      </c>
      <c r="M374" s="28">
        <f t="shared" si="171"/>
        <v>70.58</v>
      </c>
      <c r="N374" s="96"/>
      <c r="O374" s="97"/>
    </row>
    <row r="375" spans="1:15" ht="12.75" customHeight="1" x14ac:dyDescent="0.2">
      <c r="A375" s="23" t="s">
        <v>1019</v>
      </c>
      <c r="B375" s="24" t="s">
        <v>427</v>
      </c>
      <c r="C375" s="40" t="s">
        <v>428</v>
      </c>
      <c r="D375" s="25" t="s">
        <v>429</v>
      </c>
      <c r="E375" s="26" t="s">
        <v>14</v>
      </c>
      <c r="F375" s="27">
        <v>1</v>
      </c>
      <c r="G375" s="28">
        <v>66.52</v>
      </c>
      <c r="H375" s="28">
        <v>0</v>
      </c>
      <c r="I375" s="28">
        <f t="shared" si="167"/>
        <v>66.52</v>
      </c>
      <c r="J375" s="28">
        <f t="shared" si="168"/>
        <v>66.52</v>
      </c>
      <c r="K375" s="28">
        <f t="shared" si="169"/>
        <v>0</v>
      </c>
      <c r="L375" s="28">
        <f t="shared" si="170"/>
        <v>66.52</v>
      </c>
      <c r="M375" s="28">
        <f t="shared" si="171"/>
        <v>85.06</v>
      </c>
      <c r="N375" s="96"/>
      <c r="O375" s="97"/>
    </row>
    <row r="376" spans="1:15" ht="12.75" customHeight="1" x14ac:dyDescent="0.2">
      <c r="A376" s="23" t="s">
        <v>1020</v>
      </c>
      <c r="B376" s="24" t="s">
        <v>435</v>
      </c>
      <c r="C376" s="40" t="s">
        <v>432</v>
      </c>
      <c r="D376" s="25" t="s">
        <v>436</v>
      </c>
      <c r="E376" s="26" t="s">
        <v>14</v>
      </c>
      <c r="F376" s="27">
        <v>3</v>
      </c>
      <c r="G376" s="28">
        <v>65.66</v>
      </c>
      <c r="H376" s="28">
        <v>4.2699999999999996</v>
      </c>
      <c r="I376" s="28">
        <f t="shared" si="167"/>
        <v>69.929999999999993</v>
      </c>
      <c r="J376" s="28">
        <f t="shared" si="168"/>
        <v>196.98</v>
      </c>
      <c r="K376" s="28">
        <f t="shared" si="169"/>
        <v>12.809999999999999</v>
      </c>
      <c r="L376" s="28">
        <f t="shared" si="170"/>
        <v>209.79</v>
      </c>
      <c r="M376" s="28">
        <f t="shared" si="171"/>
        <v>268.26</v>
      </c>
      <c r="N376" s="96"/>
      <c r="O376" s="97"/>
    </row>
    <row r="377" spans="1:15" ht="12.75" customHeight="1" x14ac:dyDescent="0.2">
      <c r="A377" s="23" t="s">
        <v>1021</v>
      </c>
      <c r="B377" s="24" t="s">
        <v>1022</v>
      </c>
      <c r="C377" s="40" t="s">
        <v>1023</v>
      </c>
      <c r="D377" s="25" t="s">
        <v>1024</v>
      </c>
      <c r="E377" s="26" t="s">
        <v>14</v>
      </c>
      <c r="F377" s="27">
        <v>2</v>
      </c>
      <c r="G377" s="28">
        <v>149.35</v>
      </c>
      <c r="H377" s="28">
        <v>25.35</v>
      </c>
      <c r="I377" s="28">
        <f t="shared" si="167"/>
        <v>174.7</v>
      </c>
      <c r="J377" s="28">
        <f t="shared" si="168"/>
        <v>298.7</v>
      </c>
      <c r="K377" s="28">
        <f t="shared" si="169"/>
        <v>50.7</v>
      </c>
      <c r="L377" s="28">
        <f t="shared" si="170"/>
        <v>349.4</v>
      </c>
      <c r="M377" s="28">
        <f t="shared" si="171"/>
        <v>446.78</v>
      </c>
      <c r="N377" s="96"/>
      <c r="O377" s="97"/>
    </row>
    <row r="378" spans="1:15" ht="12.75" customHeight="1" x14ac:dyDescent="0.2">
      <c r="A378" s="23" t="s">
        <v>1025</v>
      </c>
      <c r="B378" s="24" t="s">
        <v>1026</v>
      </c>
      <c r="C378" s="40" t="s">
        <v>465</v>
      </c>
      <c r="D378" s="25" t="s">
        <v>1027</v>
      </c>
      <c r="E378" s="26" t="s">
        <v>14</v>
      </c>
      <c r="F378" s="27">
        <v>1</v>
      </c>
      <c r="G378" s="28">
        <v>734.12</v>
      </c>
      <c r="H378" s="28">
        <v>19.41</v>
      </c>
      <c r="I378" s="28">
        <f t="shared" si="167"/>
        <v>753.53</v>
      </c>
      <c r="J378" s="28">
        <f t="shared" si="168"/>
        <v>734.12</v>
      </c>
      <c r="K378" s="28">
        <f t="shared" si="169"/>
        <v>19.41</v>
      </c>
      <c r="L378" s="28">
        <f t="shared" si="170"/>
        <v>753.53</v>
      </c>
      <c r="M378" s="28">
        <f t="shared" si="171"/>
        <v>963.54</v>
      </c>
      <c r="N378" s="96"/>
      <c r="O378" s="97"/>
    </row>
    <row r="379" spans="1:15" ht="12.75" customHeight="1" x14ac:dyDescent="0.2">
      <c r="A379" s="23" t="s">
        <v>1028</v>
      </c>
      <c r="B379" s="24" t="s">
        <v>1029</v>
      </c>
      <c r="C379" s="40" t="s">
        <v>469</v>
      </c>
      <c r="D379" s="25" t="s">
        <v>470</v>
      </c>
      <c r="E379" s="26" t="s">
        <v>14</v>
      </c>
      <c r="F379" s="27">
        <v>1</v>
      </c>
      <c r="G379" s="28">
        <v>39.549999999999997</v>
      </c>
      <c r="H379" s="28">
        <v>6.51</v>
      </c>
      <c r="I379" s="28">
        <f t="shared" si="167"/>
        <v>46.059999999999995</v>
      </c>
      <c r="J379" s="28">
        <f t="shared" si="168"/>
        <v>39.549999999999997</v>
      </c>
      <c r="K379" s="28">
        <f t="shared" si="169"/>
        <v>6.51</v>
      </c>
      <c r="L379" s="28">
        <f t="shared" si="170"/>
        <v>46.059999999999995</v>
      </c>
      <c r="M379" s="28">
        <f t="shared" si="171"/>
        <v>58.9</v>
      </c>
      <c r="N379" s="96"/>
      <c r="O379" s="97"/>
    </row>
    <row r="380" spans="1:15" ht="12.75" customHeight="1" x14ac:dyDescent="0.2">
      <c r="A380" s="23" t="s">
        <v>1030</v>
      </c>
      <c r="B380" s="24" t="s">
        <v>1029</v>
      </c>
      <c r="C380" s="40" t="s">
        <v>472</v>
      </c>
      <c r="D380" s="25" t="s">
        <v>473</v>
      </c>
      <c r="E380" s="26" t="s">
        <v>14</v>
      </c>
      <c r="F380" s="27">
        <v>1</v>
      </c>
      <c r="G380" s="28">
        <v>99.56</v>
      </c>
      <c r="H380" s="28">
        <v>12.79</v>
      </c>
      <c r="I380" s="28">
        <f t="shared" si="167"/>
        <v>112.35</v>
      </c>
      <c r="J380" s="28">
        <f t="shared" si="168"/>
        <v>99.56</v>
      </c>
      <c r="K380" s="28">
        <f t="shared" si="169"/>
        <v>12.79</v>
      </c>
      <c r="L380" s="28">
        <f t="shared" si="170"/>
        <v>112.35</v>
      </c>
      <c r="M380" s="28">
        <f t="shared" si="171"/>
        <v>143.66</v>
      </c>
      <c r="N380" s="96"/>
      <c r="O380" s="97"/>
    </row>
    <row r="381" spans="1:15" ht="12.75" customHeight="1" x14ac:dyDescent="0.25">
      <c r="A381" s="51"/>
      <c r="B381" s="52"/>
      <c r="C381" s="112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96"/>
      <c r="O381" s="97"/>
    </row>
    <row r="382" spans="1:15" ht="12.75" customHeight="1" x14ac:dyDescent="0.2">
      <c r="A382" s="29" t="s">
        <v>1031</v>
      </c>
      <c r="B382" s="239" t="s">
        <v>1032</v>
      </c>
      <c r="C382" s="240"/>
      <c r="D382" s="47"/>
      <c r="E382" s="48"/>
      <c r="F382" s="49"/>
      <c r="G382" s="33"/>
      <c r="H382" s="33"/>
      <c r="I382" s="33"/>
      <c r="J382" s="33">
        <f t="shared" ref="J382:M382" si="172">SUM(J383:J428)</f>
        <v>8503.1427999999978</v>
      </c>
      <c r="K382" s="33">
        <f t="shared" si="172"/>
        <v>1916.0700000000002</v>
      </c>
      <c r="L382" s="33">
        <f t="shared" si="172"/>
        <v>10419.212799999999</v>
      </c>
      <c r="M382" s="33">
        <f t="shared" si="172"/>
        <v>13323.059999999998</v>
      </c>
      <c r="N382" s="113">
        <f>M382</f>
        <v>13323.059999999998</v>
      </c>
      <c r="O382" s="114"/>
    </row>
    <row r="383" spans="1:15" ht="12.75" customHeight="1" x14ac:dyDescent="0.2">
      <c r="A383" s="17" t="s">
        <v>1033</v>
      </c>
      <c r="B383" s="18" t="s">
        <v>480</v>
      </c>
      <c r="C383" s="115"/>
      <c r="D383" s="19"/>
      <c r="E383" s="20"/>
      <c r="F383" s="53"/>
      <c r="G383" s="21"/>
      <c r="H383" s="21"/>
      <c r="I383" s="21"/>
      <c r="J383" s="21"/>
      <c r="K383" s="21"/>
      <c r="L383" s="21"/>
      <c r="M383" s="21"/>
      <c r="N383" s="96"/>
      <c r="O383" s="116"/>
    </row>
    <row r="384" spans="1:15" ht="12.75" customHeight="1" x14ac:dyDescent="0.2">
      <c r="A384" s="23" t="s">
        <v>1034</v>
      </c>
      <c r="B384" s="24" t="s">
        <v>482</v>
      </c>
      <c r="C384" s="40" t="s">
        <v>483</v>
      </c>
      <c r="D384" s="25" t="s">
        <v>484</v>
      </c>
      <c r="E384" s="26" t="s">
        <v>171</v>
      </c>
      <c r="F384" s="27">
        <v>15</v>
      </c>
      <c r="G384" s="28">
        <v>3.1</v>
      </c>
      <c r="H384" s="28">
        <v>9.3800000000000008</v>
      </c>
      <c r="I384" s="28">
        <f t="shared" ref="I384:I397" si="173">G384+H384</f>
        <v>12.48</v>
      </c>
      <c r="J384" s="28">
        <f t="shared" ref="J384:J397" si="174">G384*F384</f>
        <v>46.5</v>
      </c>
      <c r="K384" s="28">
        <f t="shared" ref="K384:K397" si="175">H384*F384</f>
        <v>140.70000000000002</v>
      </c>
      <c r="L384" s="28">
        <f t="shared" ref="L384:L397" si="176">J384+K384</f>
        <v>187.20000000000002</v>
      </c>
      <c r="M384" s="28">
        <f t="shared" ref="M384:M397" si="177">ROUND(L384*(1+$M$4),2)</f>
        <v>239.37</v>
      </c>
      <c r="N384" s="96"/>
      <c r="O384" s="97"/>
    </row>
    <row r="385" spans="1:15" ht="12.75" customHeight="1" x14ac:dyDescent="0.2">
      <c r="A385" s="23" t="s">
        <v>1035</v>
      </c>
      <c r="B385" s="24" t="s">
        <v>486</v>
      </c>
      <c r="C385" s="40" t="s">
        <v>487</v>
      </c>
      <c r="D385" s="25" t="s">
        <v>488</v>
      </c>
      <c r="E385" s="26" t="s">
        <v>171</v>
      </c>
      <c r="F385" s="27">
        <v>15</v>
      </c>
      <c r="G385" s="28">
        <v>3.92</v>
      </c>
      <c r="H385" s="28">
        <v>8.4499999999999993</v>
      </c>
      <c r="I385" s="28">
        <f t="shared" si="173"/>
        <v>12.37</v>
      </c>
      <c r="J385" s="28">
        <f t="shared" si="174"/>
        <v>58.8</v>
      </c>
      <c r="K385" s="28">
        <f t="shared" si="175"/>
        <v>126.74999999999999</v>
      </c>
      <c r="L385" s="28">
        <f t="shared" si="176"/>
        <v>185.54999999999998</v>
      </c>
      <c r="M385" s="28">
        <f t="shared" si="177"/>
        <v>237.26</v>
      </c>
      <c r="N385" s="96"/>
      <c r="O385" s="97"/>
    </row>
    <row r="386" spans="1:15" ht="12.75" customHeight="1" x14ac:dyDescent="0.2">
      <c r="A386" s="23" t="s">
        <v>1036</v>
      </c>
      <c r="B386" s="24" t="s">
        <v>490</v>
      </c>
      <c r="C386" s="40" t="s">
        <v>491</v>
      </c>
      <c r="D386" s="25" t="s">
        <v>492</v>
      </c>
      <c r="E386" s="26" t="s">
        <v>171</v>
      </c>
      <c r="F386" s="27">
        <v>24</v>
      </c>
      <c r="G386" s="28">
        <v>9.9700000000000006</v>
      </c>
      <c r="H386" s="28">
        <v>11.83</v>
      </c>
      <c r="I386" s="28">
        <f t="shared" si="173"/>
        <v>21.8</v>
      </c>
      <c r="J386" s="28">
        <f t="shared" si="174"/>
        <v>239.28000000000003</v>
      </c>
      <c r="K386" s="28">
        <f t="shared" si="175"/>
        <v>283.92</v>
      </c>
      <c r="L386" s="28">
        <f t="shared" si="176"/>
        <v>523.20000000000005</v>
      </c>
      <c r="M386" s="28">
        <f t="shared" si="177"/>
        <v>669.02</v>
      </c>
      <c r="N386" s="96"/>
      <c r="O386" s="97"/>
    </row>
    <row r="387" spans="1:15" ht="12.75" customHeight="1" x14ac:dyDescent="0.2">
      <c r="A387" s="23" t="s">
        <v>1037</v>
      </c>
      <c r="B387" s="24" t="s">
        <v>490</v>
      </c>
      <c r="C387" s="40" t="s">
        <v>494</v>
      </c>
      <c r="D387" s="25" t="s">
        <v>495</v>
      </c>
      <c r="E387" s="26" t="s">
        <v>171</v>
      </c>
      <c r="F387" s="27">
        <v>12</v>
      </c>
      <c r="G387" s="28">
        <v>21.54</v>
      </c>
      <c r="H387" s="28">
        <v>6.03</v>
      </c>
      <c r="I387" s="28">
        <f t="shared" si="173"/>
        <v>27.57</v>
      </c>
      <c r="J387" s="28">
        <f t="shared" si="174"/>
        <v>258.48</v>
      </c>
      <c r="K387" s="28">
        <f t="shared" si="175"/>
        <v>72.36</v>
      </c>
      <c r="L387" s="28">
        <f t="shared" si="176"/>
        <v>330.84000000000003</v>
      </c>
      <c r="M387" s="28">
        <f t="shared" si="177"/>
        <v>423.05</v>
      </c>
      <c r="N387" s="96"/>
      <c r="O387" s="97"/>
    </row>
    <row r="388" spans="1:15" ht="12.75" customHeight="1" x14ac:dyDescent="0.2">
      <c r="A388" s="23" t="s">
        <v>1038</v>
      </c>
      <c r="B388" s="24" t="s">
        <v>497</v>
      </c>
      <c r="C388" s="40" t="s">
        <v>498</v>
      </c>
      <c r="D388" s="25" t="s">
        <v>499</v>
      </c>
      <c r="E388" s="26" t="s">
        <v>14</v>
      </c>
      <c r="F388" s="27">
        <v>2</v>
      </c>
      <c r="G388" s="28">
        <v>10.57</v>
      </c>
      <c r="H388" s="28">
        <v>3.64</v>
      </c>
      <c r="I388" s="28">
        <f t="shared" si="173"/>
        <v>14.21</v>
      </c>
      <c r="J388" s="28">
        <f t="shared" si="174"/>
        <v>21.14</v>
      </c>
      <c r="K388" s="28">
        <f t="shared" si="175"/>
        <v>7.28</v>
      </c>
      <c r="L388" s="28">
        <f t="shared" si="176"/>
        <v>28.42</v>
      </c>
      <c r="M388" s="28">
        <f t="shared" si="177"/>
        <v>36.340000000000003</v>
      </c>
      <c r="N388" s="96"/>
      <c r="O388" s="97"/>
    </row>
    <row r="389" spans="1:15" ht="12.75" customHeight="1" x14ac:dyDescent="0.2">
      <c r="A389" s="23" t="s">
        <v>1039</v>
      </c>
      <c r="B389" s="24" t="s">
        <v>497</v>
      </c>
      <c r="C389" s="40" t="s">
        <v>501</v>
      </c>
      <c r="D389" s="25" t="s">
        <v>502</v>
      </c>
      <c r="E389" s="26" t="s">
        <v>14</v>
      </c>
      <c r="F389" s="27">
        <v>6</v>
      </c>
      <c r="G389" s="28">
        <v>3.65</v>
      </c>
      <c r="H389" s="28">
        <v>3.2</v>
      </c>
      <c r="I389" s="28">
        <f t="shared" si="173"/>
        <v>6.85</v>
      </c>
      <c r="J389" s="28">
        <f t="shared" si="174"/>
        <v>21.9</v>
      </c>
      <c r="K389" s="28">
        <f t="shared" si="175"/>
        <v>19.200000000000003</v>
      </c>
      <c r="L389" s="28">
        <f t="shared" si="176"/>
        <v>41.1</v>
      </c>
      <c r="M389" s="28">
        <f t="shared" si="177"/>
        <v>52.55</v>
      </c>
      <c r="N389" s="96"/>
      <c r="O389" s="97"/>
    </row>
    <row r="390" spans="1:15" ht="12.75" customHeight="1" x14ac:dyDescent="0.2">
      <c r="A390" s="23" t="s">
        <v>1040</v>
      </c>
      <c r="B390" s="24" t="s">
        <v>504</v>
      </c>
      <c r="C390" s="40" t="s">
        <v>505</v>
      </c>
      <c r="D390" s="25" t="s">
        <v>506</v>
      </c>
      <c r="E390" s="26" t="s">
        <v>14</v>
      </c>
      <c r="F390" s="27">
        <v>1</v>
      </c>
      <c r="G390" s="28">
        <v>143.54</v>
      </c>
      <c r="H390" s="28">
        <v>11.95</v>
      </c>
      <c r="I390" s="28">
        <f t="shared" si="173"/>
        <v>155.48999999999998</v>
      </c>
      <c r="J390" s="28">
        <f t="shared" si="174"/>
        <v>143.54</v>
      </c>
      <c r="K390" s="28">
        <f t="shared" si="175"/>
        <v>11.95</v>
      </c>
      <c r="L390" s="28">
        <f t="shared" si="176"/>
        <v>155.48999999999998</v>
      </c>
      <c r="M390" s="28">
        <f t="shared" si="177"/>
        <v>198.83</v>
      </c>
      <c r="N390" s="96"/>
      <c r="O390" s="97"/>
    </row>
    <row r="391" spans="1:15" ht="12.75" customHeight="1" x14ac:dyDescent="0.2">
      <c r="A391" s="23" t="s">
        <v>1041</v>
      </c>
      <c r="B391" s="24" t="s">
        <v>504</v>
      </c>
      <c r="C391" s="40" t="s">
        <v>508</v>
      </c>
      <c r="D391" s="25" t="s">
        <v>509</v>
      </c>
      <c r="E391" s="26" t="s">
        <v>14</v>
      </c>
      <c r="F391" s="27">
        <v>3</v>
      </c>
      <c r="G391" s="28">
        <v>80.760000000000005</v>
      </c>
      <c r="H391" s="28">
        <v>7.06</v>
      </c>
      <c r="I391" s="28">
        <f t="shared" si="173"/>
        <v>87.820000000000007</v>
      </c>
      <c r="J391" s="28">
        <f t="shared" si="174"/>
        <v>242.28000000000003</v>
      </c>
      <c r="K391" s="28">
        <f t="shared" si="175"/>
        <v>21.18</v>
      </c>
      <c r="L391" s="28">
        <f t="shared" si="176"/>
        <v>263.46000000000004</v>
      </c>
      <c r="M391" s="28">
        <f t="shared" si="177"/>
        <v>336.89</v>
      </c>
      <c r="N391" s="96"/>
      <c r="O391" s="97"/>
    </row>
    <row r="392" spans="1:15" ht="12.75" customHeight="1" x14ac:dyDescent="0.2">
      <c r="A392" s="23" t="s">
        <v>1042</v>
      </c>
      <c r="B392" s="24" t="s">
        <v>511</v>
      </c>
      <c r="C392" s="40" t="s">
        <v>512</v>
      </c>
      <c r="D392" s="25" t="s">
        <v>513</v>
      </c>
      <c r="E392" s="26" t="s">
        <v>14</v>
      </c>
      <c r="F392" s="27">
        <v>9</v>
      </c>
      <c r="G392" s="28">
        <v>4.04</v>
      </c>
      <c r="H392" s="28">
        <v>4.8099999999999996</v>
      </c>
      <c r="I392" s="28">
        <f t="shared" si="173"/>
        <v>8.85</v>
      </c>
      <c r="J392" s="28">
        <f t="shared" si="174"/>
        <v>36.36</v>
      </c>
      <c r="K392" s="28">
        <f t="shared" si="175"/>
        <v>43.29</v>
      </c>
      <c r="L392" s="28">
        <f t="shared" si="176"/>
        <v>79.650000000000006</v>
      </c>
      <c r="M392" s="28">
        <f t="shared" si="177"/>
        <v>101.85</v>
      </c>
      <c r="N392" s="96"/>
      <c r="O392" s="97"/>
    </row>
    <row r="393" spans="1:15" ht="12.75" customHeight="1" x14ac:dyDescent="0.2">
      <c r="A393" s="23" t="s">
        <v>1043</v>
      </c>
      <c r="B393" s="24" t="s">
        <v>511</v>
      </c>
      <c r="C393" s="40" t="s">
        <v>515</v>
      </c>
      <c r="D393" s="25" t="s">
        <v>516</v>
      </c>
      <c r="E393" s="26" t="s">
        <v>14</v>
      </c>
      <c r="F393" s="27">
        <v>2</v>
      </c>
      <c r="G393" s="28">
        <v>12.07</v>
      </c>
      <c r="H393" s="28">
        <v>3.45</v>
      </c>
      <c r="I393" s="28">
        <f t="shared" si="173"/>
        <v>15.52</v>
      </c>
      <c r="J393" s="28">
        <f t="shared" si="174"/>
        <v>24.14</v>
      </c>
      <c r="K393" s="28">
        <f t="shared" si="175"/>
        <v>6.9</v>
      </c>
      <c r="L393" s="28">
        <f t="shared" si="176"/>
        <v>31.04</v>
      </c>
      <c r="M393" s="28">
        <f t="shared" si="177"/>
        <v>39.69</v>
      </c>
      <c r="N393" s="96"/>
      <c r="O393" s="97"/>
    </row>
    <row r="394" spans="1:15" ht="12.75" customHeight="1" x14ac:dyDescent="0.2">
      <c r="A394" s="23" t="s">
        <v>1044</v>
      </c>
      <c r="B394" s="24" t="s">
        <v>511</v>
      </c>
      <c r="C394" s="40" t="s">
        <v>518</v>
      </c>
      <c r="D394" s="25" t="s">
        <v>519</v>
      </c>
      <c r="E394" s="26" t="s">
        <v>14</v>
      </c>
      <c r="F394" s="27">
        <v>5</v>
      </c>
      <c r="G394" s="28">
        <v>11.31</v>
      </c>
      <c r="H394" s="28">
        <v>4.79</v>
      </c>
      <c r="I394" s="28">
        <f t="shared" si="173"/>
        <v>16.100000000000001</v>
      </c>
      <c r="J394" s="28">
        <f t="shared" si="174"/>
        <v>56.550000000000004</v>
      </c>
      <c r="K394" s="28">
        <f t="shared" si="175"/>
        <v>23.95</v>
      </c>
      <c r="L394" s="28">
        <f t="shared" si="176"/>
        <v>80.5</v>
      </c>
      <c r="M394" s="28">
        <f t="shared" si="177"/>
        <v>102.94</v>
      </c>
      <c r="N394" s="96"/>
      <c r="O394" s="97"/>
    </row>
    <row r="395" spans="1:15" ht="12.75" customHeight="1" x14ac:dyDescent="0.2">
      <c r="A395" s="23" t="s">
        <v>1045</v>
      </c>
      <c r="B395" s="24" t="s">
        <v>511</v>
      </c>
      <c r="C395" s="40" t="s">
        <v>521</v>
      </c>
      <c r="D395" s="25" t="s">
        <v>522</v>
      </c>
      <c r="E395" s="26" t="s">
        <v>14</v>
      </c>
      <c r="F395" s="27">
        <v>1</v>
      </c>
      <c r="G395" s="28">
        <v>20.100000000000001</v>
      </c>
      <c r="H395" s="28">
        <v>4.59</v>
      </c>
      <c r="I395" s="28">
        <f t="shared" si="173"/>
        <v>24.69</v>
      </c>
      <c r="J395" s="28">
        <f t="shared" si="174"/>
        <v>20.100000000000001</v>
      </c>
      <c r="K395" s="28">
        <f t="shared" si="175"/>
        <v>4.59</v>
      </c>
      <c r="L395" s="28">
        <f t="shared" si="176"/>
        <v>24.69</v>
      </c>
      <c r="M395" s="28">
        <f t="shared" si="177"/>
        <v>31.57</v>
      </c>
      <c r="N395" s="96"/>
      <c r="O395" s="97"/>
    </row>
    <row r="396" spans="1:15" ht="12.75" customHeight="1" x14ac:dyDescent="0.2">
      <c r="A396" s="23" t="s">
        <v>1046</v>
      </c>
      <c r="B396" s="24" t="s">
        <v>511</v>
      </c>
      <c r="C396" s="40" t="s">
        <v>524</v>
      </c>
      <c r="D396" s="25" t="s">
        <v>525</v>
      </c>
      <c r="E396" s="26" t="s">
        <v>14</v>
      </c>
      <c r="F396" s="27">
        <v>3</v>
      </c>
      <c r="G396" s="28">
        <v>4.99</v>
      </c>
      <c r="H396" s="28">
        <v>3.85</v>
      </c>
      <c r="I396" s="28">
        <f t="shared" si="173"/>
        <v>8.84</v>
      </c>
      <c r="J396" s="28">
        <f t="shared" si="174"/>
        <v>14.97</v>
      </c>
      <c r="K396" s="28">
        <f t="shared" si="175"/>
        <v>11.55</v>
      </c>
      <c r="L396" s="28">
        <f t="shared" si="176"/>
        <v>26.520000000000003</v>
      </c>
      <c r="M396" s="28">
        <f t="shared" si="177"/>
        <v>33.909999999999997</v>
      </c>
      <c r="N396" s="96"/>
      <c r="O396" s="97"/>
    </row>
    <row r="397" spans="1:15" ht="12.75" customHeight="1" x14ac:dyDescent="0.2">
      <c r="A397" s="23" t="s">
        <v>1047</v>
      </c>
      <c r="B397" s="24" t="s">
        <v>511</v>
      </c>
      <c r="C397" s="40" t="s">
        <v>527</v>
      </c>
      <c r="D397" s="25" t="s">
        <v>528</v>
      </c>
      <c r="E397" s="26" t="s">
        <v>14</v>
      </c>
      <c r="F397" s="27">
        <v>2</v>
      </c>
      <c r="G397" s="28">
        <v>7.43</v>
      </c>
      <c r="H397" s="28">
        <v>3.19</v>
      </c>
      <c r="I397" s="28">
        <f t="shared" si="173"/>
        <v>10.62</v>
      </c>
      <c r="J397" s="28">
        <f t="shared" si="174"/>
        <v>14.86</v>
      </c>
      <c r="K397" s="28">
        <f t="shared" si="175"/>
        <v>6.38</v>
      </c>
      <c r="L397" s="28">
        <f t="shared" si="176"/>
        <v>21.24</v>
      </c>
      <c r="M397" s="28">
        <f t="shared" si="177"/>
        <v>27.16</v>
      </c>
      <c r="N397" s="96"/>
      <c r="O397" s="97"/>
    </row>
    <row r="398" spans="1:15" ht="12.75" customHeight="1" x14ac:dyDescent="0.2">
      <c r="A398" s="17" t="s">
        <v>1048</v>
      </c>
      <c r="B398" s="18" t="s">
        <v>538</v>
      </c>
      <c r="C398" s="115"/>
      <c r="D398" s="19"/>
      <c r="E398" s="20"/>
      <c r="F398" s="20"/>
      <c r="G398" s="21"/>
      <c r="H398" s="21"/>
      <c r="I398" s="21"/>
      <c r="J398" s="21"/>
      <c r="K398" s="21"/>
      <c r="L398" s="21"/>
      <c r="M398" s="21"/>
      <c r="N398" s="96"/>
      <c r="O398" s="116"/>
    </row>
    <row r="399" spans="1:15" ht="12.75" customHeight="1" x14ac:dyDescent="0.2">
      <c r="A399" s="23" t="s">
        <v>1049</v>
      </c>
      <c r="B399" s="24" t="s">
        <v>540</v>
      </c>
      <c r="C399" s="40" t="s">
        <v>541</v>
      </c>
      <c r="D399" s="25" t="s">
        <v>542</v>
      </c>
      <c r="E399" s="26" t="s">
        <v>158</v>
      </c>
      <c r="F399" s="27">
        <f t="shared" ref="F399:F400" si="178">18*0.3*0.5</f>
        <v>2.6999999999999997</v>
      </c>
      <c r="G399" s="28">
        <v>25.76</v>
      </c>
      <c r="H399" s="28">
        <v>52.48</v>
      </c>
      <c r="I399" s="28">
        <f t="shared" ref="I399:I414" si="179">G399+H399</f>
        <v>78.239999999999995</v>
      </c>
      <c r="J399" s="28">
        <f t="shared" ref="J399:J414" si="180">G399*F399</f>
        <v>69.551999999999992</v>
      </c>
      <c r="K399" s="28">
        <f t="shared" ref="K399:K414" si="181">H399*F399</f>
        <v>141.69599999999997</v>
      </c>
      <c r="L399" s="28">
        <f t="shared" ref="L399:L414" si="182">J399+K399</f>
        <v>211.24799999999996</v>
      </c>
      <c r="M399" s="28">
        <f t="shared" ref="M399:M414" si="183">ROUND(L399*(1+$M$4),2)</f>
        <v>270.12</v>
      </c>
      <c r="N399" s="96"/>
      <c r="O399" s="97"/>
    </row>
    <row r="400" spans="1:15" ht="12.75" customHeight="1" x14ac:dyDescent="0.2">
      <c r="A400" s="23" t="s">
        <v>1050</v>
      </c>
      <c r="B400" s="24" t="s">
        <v>544</v>
      </c>
      <c r="C400" s="40" t="s">
        <v>545</v>
      </c>
      <c r="D400" s="25" t="s">
        <v>546</v>
      </c>
      <c r="E400" s="26" t="s">
        <v>158</v>
      </c>
      <c r="F400" s="27">
        <f t="shared" si="178"/>
        <v>2.6999999999999997</v>
      </c>
      <c r="G400" s="28">
        <v>15.62</v>
      </c>
      <c r="H400" s="28">
        <v>31.82</v>
      </c>
      <c r="I400" s="28">
        <f t="shared" si="179"/>
        <v>47.44</v>
      </c>
      <c r="J400" s="28">
        <f t="shared" si="180"/>
        <v>42.173999999999992</v>
      </c>
      <c r="K400" s="28">
        <f t="shared" si="181"/>
        <v>85.913999999999987</v>
      </c>
      <c r="L400" s="28">
        <f t="shared" si="182"/>
        <v>128.08799999999997</v>
      </c>
      <c r="M400" s="28">
        <f t="shared" si="183"/>
        <v>163.79</v>
      </c>
      <c r="N400" s="96"/>
      <c r="O400" s="97"/>
    </row>
    <row r="401" spans="1:15" ht="12.75" customHeight="1" x14ac:dyDescent="0.2">
      <c r="A401" s="23" t="s">
        <v>1051</v>
      </c>
      <c r="B401" s="24" t="s">
        <v>548</v>
      </c>
      <c r="C401" s="40" t="s">
        <v>549</v>
      </c>
      <c r="D401" s="25" t="s">
        <v>550</v>
      </c>
      <c r="E401" s="26" t="s">
        <v>30</v>
      </c>
      <c r="F401" s="27">
        <f>18*0.3</f>
        <v>5.3999999999999995</v>
      </c>
      <c r="G401" s="28">
        <v>57.9</v>
      </c>
      <c r="H401" s="28">
        <v>2.7</v>
      </c>
      <c r="I401" s="28">
        <f t="shared" si="179"/>
        <v>60.6</v>
      </c>
      <c r="J401" s="28">
        <f t="shared" si="180"/>
        <v>312.65999999999997</v>
      </c>
      <c r="K401" s="28">
        <f t="shared" si="181"/>
        <v>14.58</v>
      </c>
      <c r="L401" s="28">
        <f t="shared" si="182"/>
        <v>327.23999999999995</v>
      </c>
      <c r="M401" s="28">
        <f t="shared" si="183"/>
        <v>418.44</v>
      </c>
      <c r="N401" s="96"/>
      <c r="O401" s="97"/>
    </row>
    <row r="402" spans="1:15" ht="12.75" customHeight="1" x14ac:dyDescent="0.2">
      <c r="A402" s="23" t="s">
        <v>1052</v>
      </c>
      <c r="B402" s="24" t="s">
        <v>552</v>
      </c>
      <c r="C402" s="40" t="s">
        <v>553</v>
      </c>
      <c r="D402" s="25" t="s">
        <v>554</v>
      </c>
      <c r="E402" s="26" t="s">
        <v>14</v>
      </c>
      <c r="F402" s="27">
        <v>1</v>
      </c>
      <c r="G402" s="28">
        <v>220.13</v>
      </c>
      <c r="H402" s="28">
        <v>193.12</v>
      </c>
      <c r="I402" s="28">
        <f t="shared" si="179"/>
        <v>413.25</v>
      </c>
      <c r="J402" s="28">
        <f t="shared" si="180"/>
        <v>220.13</v>
      </c>
      <c r="K402" s="28">
        <f t="shared" si="181"/>
        <v>193.12</v>
      </c>
      <c r="L402" s="28">
        <f t="shared" si="182"/>
        <v>413.25</v>
      </c>
      <c r="M402" s="28">
        <f t="shared" si="183"/>
        <v>528.41999999999996</v>
      </c>
      <c r="N402" s="96"/>
      <c r="O402" s="97"/>
    </row>
    <row r="403" spans="1:15" ht="12.75" customHeight="1" x14ac:dyDescent="0.2">
      <c r="A403" s="23" t="s">
        <v>1053</v>
      </c>
      <c r="B403" s="24" t="s">
        <v>560</v>
      </c>
      <c r="C403" s="40" t="s">
        <v>561</v>
      </c>
      <c r="D403" s="25" t="s">
        <v>562</v>
      </c>
      <c r="E403" s="26" t="s">
        <v>171</v>
      </c>
      <c r="F403" s="27">
        <v>6</v>
      </c>
      <c r="G403" s="28">
        <v>36.67</v>
      </c>
      <c r="H403" s="28">
        <v>23.69</v>
      </c>
      <c r="I403" s="28">
        <f t="shared" si="179"/>
        <v>60.36</v>
      </c>
      <c r="J403" s="28">
        <f t="shared" si="180"/>
        <v>220.02</v>
      </c>
      <c r="K403" s="28">
        <f t="shared" si="181"/>
        <v>142.14000000000001</v>
      </c>
      <c r="L403" s="28">
        <f t="shared" si="182"/>
        <v>362.16</v>
      </c>
      <c r="M403" s="28">
        <f t="shared" si="183"/>
        <v>463.09</v>
      </c>
      <c r="N403" s="96"/>
      <c r="O403" s="97"/>
    </row>
    <row r="404" spans="1:15" ht="12.75" customHeight="1" x14ac:dyDescent="0.2">
      <c r="A404" s="23" t="s">
        <v>1054</v>
      </c>
      <c r="B404" s="24" t="s">
        <v>560</v>
      </c>
      <c r="C404" s="40" t="s">
        <v>564</v>
      </c>
      <c r="D404" s="25" t="s">
        <v>565</v>
      </c>
      <c r="E404" s="26" t="s">
        <v>171</v>
      </c>
      <c r="F404" s="27">
        <v>3</v>
      </c>
      <c r="G404" s="28">
        <v>10.86</v>
      </c>
      <c r="H404" s="28">
        <v>9.6</v>
      </c>
      <c r="I404" s="28">
        <f t="shared" si="179"/>
        <v>20.46</v>
      </c>
      <c r="J404" s="28">
        <f t="shared" si="180"/>
        <v>32.58</v>
      </c>
      <c r="K404" s="28">
        <f t="shared" si="181"/>
        <v>28.799999999999997</v>
      </c>
      <c r="L404" s="28">
        <f t="shared" si="182"/>
        <v>61.379999999999995</v>
      </c>
      <c r="M404" s="28">
        <f t="shared" si="183"/>
        <v>78.489999999999995</v>
      </c>
      <c r="N404" s="96"/>
      <c r="O404" s="97"/>
    </row>
    <row r="405" spans="1:15" ht="12.75" customHeight="1" x14ac:dyDescent="0.2">
      <c r="A405" s="23" t="s">
        <v>1055</v>
      </c>
      <c r="B405" s="24" t="s">
        <v>560</v>
      </c>
      <c r="C405" s="40" t="s">
        <v>567</v>
      </c>
      <c r="D405" s="25" t="s">
        <v>568</v>
      </c>
      <c r="E405" s="26" t="s">
        <v>171</v>
      </c>
      <c r="F405" s="27">
        <v>9</v>
      </c>
      <c r="G405" s="28">
        <v>19.03</v>
      </c>
      <c r="H405" s="28">
        <v>12.15</v>
      </c>
      <c r="I405" s="28">
        <f t="shared" si="179"/>
        <v>31.18</v>
      </c>
      <c r="J405" s="28">
        <f t="shared" si="180"/>
        <v>171.27</v>
      </c>
      <c r="K405" s="28">
        <f t="shared" si="181"/>
        <v>109.35000000000001</v>
      </c>
      <c r="L405" s="28">
        <f t="shared" si="182"/>
        <v>280.62</v>
      </c>
      <c r="M405" s="28">
        <f t="shared" si="183"/>
        <v>358.83</v>
      </c>
      <c r="N405" s="96"/>
      <c r="O405" s="97"/>
    </row>
    <row r="406" spans="1:15" ht="12.75" customHeight="1" x14ac:dyDescent="0.2">
      <c r="A406" s="23" t="s">
        <v>1056</v>
      </c>
      <c r="B406" s="24" t="s">
        <v>570</v>
      </c>
      <c r="C406" s="40" t="s">
        <v>571</v>
      </c>
      <c r="D406" s="25" t="s">
        <v>574</v>
      </c>
      <c r="E406" s="26" t="s">
        <v>14</v>
      </c>
      <c r="F406" s="27">
        <v>2</v>
      </c>
      <c r="G406" s="28">
        <v>6.55</v>
      </c>
      <c r="H406" s="28">
        <v>1.26</v>
      </c>
      <c r="I406" s="28">
        <f t="shared" si="179"/>
        <v>7.81</v>
      </c>
      <c r="J406" s="28">
        <f t="shared" si="180"/>
        <v>13.1</v>
      </c>
      <c r="K406" s="28">
        <f t="shared" si="181"/>
        <v>2.52</v>
      </c>
      <c r="L406" s="28">
        <f t="shared" si="182"/>
        <v>15.62</v>
      </c>
      <c r="M406" s="28">
        <f t="shared" si="183"/>
        <v>19.97</v>
      </c>
      <c r="N406" s="96"/>
      <c r="O406" s="97"/>
    </row>
    <row r="407" spans="1:15" ht="12.75" customHeight="1" x14ac:dyDescent="0.2">
      <c r="A407" s="23" t="s">
        <v>1057</v>
      </c>
      <c r="B407" s="24" t="s">
        <v>570</v>
      </c>
      <c r="C407" s="40" t="s">
        <v>571</v>
      </c>
      <c r="D407" s="25" t="s">
        <v>576</v>
      </c>
      <c r="E407" s="26" t="s">
        <v>14</v>
      </c>
      <c r="F407" s="27">
        <v>2</v>
      </c>
      <c r="G407" s="28">
        <v>6.55</v>
      </c>
      <c r="H407" s="28">
        <v>1.26</v>
      </c>
      <c r="I407" s="28">
        <f t="shared" si="179"/>
        <v>7.81</v>
      </c>
      <c r="J407" s="28">
        <f t="shared" si="180"/>
        <v>13.1</v>
      </c>
      <c r="K407" s="28">
        <f t="shared" si="181"/>
        <v>2.52</v>
      </c>
      <c r="L407" s="28">
        <f t="shared" si="182"/>
        <v>15.62</v>
      </c>
      <c r="M407" s="28">
        <f t="shared" si="183"/>
        <v>19.97</v>
      </c>
      <c r="N407" s="96"/>
      <c r="O407" s="97"/>
    </row>
    <row r="408" spans="1:15" ht="12.75" customHeight="1" x14ac:dyDescent="0.2">
      <c r="A408" s="23" t="s">
        <v>1058</v>
      </c>
      <c r="B408" s="24" t="s">
        <v>570</v>
      </c>
      <c r="C408" s="40" t="s">
        <v>578</v>
      </c>
      <c r="D408" s="25" t="s">
        <v>579</v>
      </c>
      <c r="E408" s="26" t="s">
        <v>14</v>
      </c>
      <c r="F408" s="27">
        <v>3</v>
      </c>
      <c r="G408" s="28">
        <v>39.5</v>
      </c>
      <c r="H408" s="28">
        <v>10.55</v>
      </c>
      <c r="I408" s="28">
        <f t="shared" si="179"/>
        <v>50.05</v>
      </c>
      <c r="J408" s="28">
        <f t="shared" si="180"/>
        <v>118.5</v>
      </c>
      <c r="K408" s="28">
        <f t="shared" si="181"/>
        <v>31.650000000000002</v>
      </c>
      <c r="L408" s="28">
        <f t="shared" si="182"/>
        <v>150.15</v>
      </c>
      <c r="M408" s="28">
        <f t="shared" si="183"/>
        <v>192</v>
      </c>
      <c r="N408" s="96"/>
      <c r="O408" s="97"/>
    </row>
    <row r="409" spans="1:15" ht="12.75" customHeight="1" x14ac:dyDescent="0.2">
      <c r="A409" s="23" t="s">
        <v>1059</v>
      </c>
      <c r="B409" s="24" t="s">
        <v>570</v>
      </c>
      <c r="C409" s="40" t="s">
        <v>581</v>
      </c>
      <c r="D409" s="25" t="s">
        <v>582</v>
      </c>
      <c r="E409" s="26" t="s">
        <v>14</v>
      </c>
      <c r="F409" s="27">
        <v>2</v>
      </c>
      <c r="G409" s="28">
        <v>6.83</v>
      </c>
      <c r="H409" s="28">
        <v>4.16</v>
      </c>
      <c r="I409" s="28">
        <f t="shared" si="179"/>
        <v>10.99</v>
      </c>
      <c r="J409" s="28">
        <f t="shared" si="180"/>
        <v>13.66</v>
      </c>
      <c r="K409" s="28">
        <f t="shared" si="181"/>
        <v>8.32</v>
      </c>
      <c r="L409" s="28">
        <f t="shared" si="182"/>
        <v>21.98</v>
      </c>
      <c r="M409" s="28">
        <f t="shared" si="183"/>
        <v>28.11</v>
      </c>
      <c r="N409" s="96"/>
      <c r="O409" s="97"/>
    </row>
    <row r="410" spans="1:15" ht="12.75" customHeight="1" x14ac:dyDescent="0.2">
      <c r="A410" s="23" t="s">
        <v>1060</v>
      </c>
      <c r="B410" s="24" t="s">
        <v>570</v>
      </c>
      <c r="C410" s="40" t="s">
        <v>581</v>
      </c>
      <c r="D410" s="25" t="s">
        <v>584</v>
      </c>
      <c r="E410" s="26" t="s">
        <v>14</v>
      </c>
      <c r="F410" s="27">
        <v>2</v>
      </c>
      <c r="G410" s="28">
        <v>6.83</v>
      </c>
      <c r="H410" s="28">
        <v>4.16</v>
      </c>
      <c r="I410" s="28">
        <f t="shared" si="179"/>
        <v>10.99</v>
      </c>
      <c r="J410" s="28">
        <f t="shared" si="180"/>
        <v>13.66</v>
      </c>
      <c r="K410" s="28">
        <f t="shared" si="181"/>
        <v>8.32</v>
      </c>
      <c r="L410" s="28">
        <f t="shared" si="182"/>
        <v>21.98</v>
      </c>
      <c r="M410" s="28">
        <f t="shared" si="183"/>
        <v>28.11</v>
      </c>
      <c r="N410" s="96"/>
      <c r="O410" s="97"/>
    </row>
    <row r="411" spans="1:15" ht="12.75" customHeight="1" x14ac:dyDescent="0.2">
      <c r="A411" s="23" t="s">
        <v>1061</v>
      </c>
      <c r="B411" s="24" t="s">
        <v>570</v>
      </c>
      <c r="C411" s="40" t="s">
        <v>578</v>
      </c>
      <c r="D411" s="25" t="s">
        <v>579</v>
      </c>
      <c r="E411" s="26" t="s">
        <v>14</v>
      </c>
      <c r="F411" s="27">
        <v>2</v>
      </c>
      <c r="G411" s="28">
        <v>39.5</v>
      </c>
      <c r="H411" s="28">
        <v>10.55</v>
      </c>
      <c r="I411" s="28">
        <f t="shared" si="179"/>
        <v>50.05</v>
      </c>
      <c r="J411" s="28">
        <f t="shared" si="180"/>
        <v>79</v>
      </c>
      <c r="K411" s="28">
        <f t="shared" si="181"/>
        <v>21.1</v>
      </c>
      <c r="L411" s="28">
        <f t="shared" si="182"/>
        <v>100.1</v>
      </c>
      <c r="M411" s="28">
        <f t="shared" si="183"/>
        <v>128</v>
      </c>
      <c r="N411" s="96"/>
      <c r="O411" s="97"/>
    </row>
    <row r="412" spans="1:15" ht="12.75" customHeight="1" x14ac:dyDescent="0.2">
      <c r="A412" s="23" t="s">
        <v>1062</v>
      </c>
      <c r="B412" s="24" t="s">
        <v>570</v>
      </c>
      <c r="C412" s="40" t="s">
        <v>1063</v>
      </c>
      <c r="D412" s="25" t="s">
        <v>1064</v>
      </c>
      <c r="E412" s="26" t="s">
        <v>14</v>
      </c>
      <c r="F412" s="27">
        <v>3</v>
      </c>
      <c r="G412" s="28">
        <v>32.270000000000003</v>
      </c>
      <c r="H412" s="28">
        <v>10.55</v>
      </c>
      <c r="I412" s="28">
        <f t="shared" si="179"/>
        <v>42.820000000000007</v>
      </c>
      <c r="J412" s="28">
        <f t="shared" si="180"/>
        <v>96.81</v>
      </c>
      <c r="K412" s="28">
        <f t="shared" si="181"/>
        <v>31.650000000000002</v>
      </c>
      <c r="L412" s="28">
        <f t="shared" si="182"/>
        <v>128.46</v>
      </c>
      <c r="M412" s="28">
        <f t="shared" si="183"/>
        <v>164.26</v>
      </c>
      <c r="N412" s="96"/>
      <c r="O412" s="97"/>
    </row>
    <row r="413" spans="1:15" ht="12.75" customHeight="1" x14ac:dyDescent="0.2">
      <c r="A413" s="23" t="s">
        <v>1065</v>
      </c>
      <c r="B413" s="24" t="s">
        <v>570</v>
      </c>
      <c r="C413" s="40" t="s">
        <v>586</v>
      </c>
      <c r="D413" s="25" t="s">
        <v>587</v>
      </c>
      <c r="E413" s="26" t="s">
        <v>14</v>
      </c>
      <c r="F413" s="27">
        <v>2</v>
      </c>
      <c r="G413" s="28">
        <v>27.76</v>
      </c>
      <c r="H413" s="28">
        <v>7.98</v>
      </c>
      <c r="I413" s="28">
        <f t="shared" si="179"/>
        <v>35.74</v>
      </c>
      <c r="J413" s="28">
        <f t="shared" si="180"/>
        <v>55.52</v>
      </c>
      <c r="K413" s="28">
        <f t="shared" si="181"/>
        <v>15.96</v>
      </c>
      <c r="L413" s="28">
        <f t="shared" si="182"/>
        <v>71.48</v>
      </c>
      <c r="M413" s="28">
        <f t="shared" si="183"/>
        <v>91.4</v>
      </c>
      <c r="N413" s="96"/>
      <c r="O413" s="97"/>
    </row>
    <row r="414" spans="1:15" ht="12.75" customHeight="1" x14ac:dyDescent="0.2">
      <c r="A414" s="23" t="s">
        <v>1066</v>
      </c>
      <c r="B414" s="24" t="s">
        <v>589</v>
      </c>
      <c r="C414" s="40" t="s">
        <v>590</v>
      </c>
      <c r="D414" s="25" t="s">
        <v>591</v>
      </c>
      <c r="E414" s="26" t="s">
        <v>14</v>
      </c>
      <c r="F414" s="27">
        <v>2</v>
      </c>
      <c r="G414" s="28">
        <v>11.69</v>
      </c>
      <c r="H414" s="28">
        <v>2.23</v>
      </c>
      <c r="I414" s="28">
        <f t="shared" si="179"/>
        <v>13.92</v>
      </c>
      <c r="J414" s="28">
        <f t="shared" si="180"/>
        <v>23.38</v>
      </c>
      <c r="K414" s="28">
        <f t="shared" si="181"/>
        <v>4.46</v>
      </c>
      <c r="L414" s="28">
        <f t="shared" si="182"/>
        <v>27.84</v>
      </c>
      <c r="M414" s="28">
        <f t="shared" si="183"/>
        <v>35.6</v>
      </c>
      <c r="N414" s="96"/>
      <c r="O414" s="97"/>
    </row>
    <row r="415" spans="1:15" ht="12.75" customHeight="1" x14ac:dyDescent="0.2">
      <c r="A415" s="17" t="s">
        <v>1067</v>
      </c>
      <c r="B415" s="18" t="s">
        <v>593</v>
      </c>
      <c r="C415" s="115"/>
      <c r="D415" s="19"/>
      <c r="E415" s="20"/>
      <c r="F415" s="53"/>
      <c r="G415" s="21"/>
      <c r="H415" s="21"/>
      <c r="I415" s="21"/>
      <c r="J415" s="21"/>
      <c r="K415" s="21"/>
      <c r="L415" s="21"/>
      <c r="M415" s="21"/>
      <c r="N415" s="96"/>
      <c r="O415" s="116"/>
    </row>
    <row r="416" spans="1:15" ht="12.75" customHeight="1" x14ac:dyDescent="0.2">
      <c r="A416" s="23" t="s">
        <v>1068</v>
      </c>
      <c r="B416" s="24" t="s">
        <v>595</v>
      </c>
      <c r="C416" s="40" t="s">
        <v>596</v>
      </c>
      <c r="D416" s="25" t="s">
        <v>597</v>
      </c>
      <c r="E416" s="26" t="s">
        <v>14</v>
      </c>
      <c r="F416" s="27">
        <v>3</v>
      </c>
      <c r="G416" s="28">
        <v>510.48</v>
      </c>
      <c r="H416" s="28">
        <v>23.85</v>
      </c>
      <c r="I416" s="28">
        <f t="shared" ref="I416:I428" si="184">G416+H416</f>
        <v>534.33000000000004</v>
      </c>
      <c r="J416" s="28">
        <f t="shared" ref="J416:J428" si="185">G416*F416</f>
        <v>1531.44</v>
      </c>
      <c r="K416" s="28">
        <f t="shared" ref="K416:K428" si="186">H416*F416</f>
        <v>71.550000000000011</v>
      </c>
      <c r="L416" s="28">
        <f t="shared" ref="L416:L428" si="187">J416+K416</f>
        <v>1602.99</v>
      </c>
      <c r="M416" s="28">
        <f t="shared" ref="M416:M428" si="188">ROUND(L416*(1+$M$4),2)</f>
        <v>2049.7399999999998</v>
      </c>
      <c r="N416" s="96"/>
      <c r="O416" s="97"/>
    </row>
    <row r="417" spans="1:15" ht="12.75" customHeight="1" x14ac:dyDescent="0.2">
      <c r="A417" s="23" t="s">
        <v>1069</v>
      </c>
      <c r="B417" s="24" t="s">
        <v>599</v>
      </c>
      <c r="C417" s="40" t="s">
        <v>600</v>
      </c>
      <c r="D417" s="25" t="s">
        <v>601</v>
      </c>
      <c r="E417" s="26" t="s">
        <v>14</v>
      </c>
      <c r="F417" s="27">
        <v>3</v>
      </c>
      <c r="G417" s="28">
        <v>36.909999999999997</v>
      </c>
      <c r="H417" s="28">
        <v>3.5</v>
      </c>
      <c r="I417" s="28">
        <f t="shared" si="184"/>
        <v>40.409999999999997</v>
      </c>
      <c r="J417" s="28">
        <f t="shared" si="185"/>
        <v>110.72999999999999</v>
      </c>
      <c r="K417" s="28">
        <f t="shared" si="186"/>
        <v>10.5</v>
      </c>
      <c r="L417" s="28">
        <f t="shared" si="187"/>
        <v>121.22999999999999</v>
      </c>
      <c r="M417" s="28">
        <f t="shared" si="188"/>
        <v>155.02000000000001</v>
      </c>
      <c r="N417" s="96"/>
      <c r="O417" s="97"/>
    </row>
    <row r="418" spans="1:15" ht="12.75" customHeight="1" x14ac:dyDescent="0.2">
      <c r="A418" s="23" t="s">
        <v>1070</v>
      </c>
      <c r="B418" s="24" t="s">
        <v>603</v>
      </c>
      <c r="C418" s="40" t="s">
        <v>604</v>
      </c>
      <c r="D418" s="25" t="s">
        <v>605</v>
      </c>
      <c r="E418" s="26" t="s">
        <v>14</v>
      </c>
      <c r="F418" s="27">
        <v>1</v>
      </c>
      <c r="G418" s="28">
        <v>222.3</v>
      </c>
      <c r="H418" s="28">
        <v>21.29</v>
      </c>
      <c r="I418" s="28">
        <f t="shared" si="184"/>
        <v>243.59</v>
      </c>
      <c r="J418" s="28">
        <f t="shared" si="185"/>
        <v>222.3</v>
      </c>
      <c r="K418" s="28">
        <f t="shared" si="186"/>
        <v>21.29</v>
      </c>
      <c r="L418" s="28">
        <f t="shared" si="187"/>
        <v>243.59</v>
      </c>
      <c r="M418" s="28">
        <f t="shared" si="188"/>
        <v>311.48</v>
      </c>
      <c r="N418" s="96"/>
      <c r="O418" s="97"/>
    </row>
    <row r="419" spans="1:15" ht="12.75" customHeight="1" x14ac:dyDescent="0.2">
      <c r="A419" s="23" t="s">
        <v>1071</v>
      </c>
      <c r="B419" s="24" t="s">
        <v>1072</v>
      </c>
      <c r="C419" s="40" t="s">
        <v>608</v>
      </c>
      <c r="D419" s="25" t="s">
        <v>609</v>
      </c>
      <c r="E419" s="26" t="s">
        <v>14</v>
      </c>
      <c r="F419" s="27">
        <v>1</v>
      </c>
      <c r="G419" s="28">
        <v>665.87</v>
      </c>
      <c r="H419" s="28">
        <v>31.68</v>
      </c>
      <c r="I419" s="28">
        <f t="shared" si="184"/>
        <v>697.55</v>
      </c>
      <c r="J419" s="28">
        <f t="shared" si="185"/>
        <v>665.87</v>
      </c>
      <c r="K419" s="28">
        <f t="shared" si="186"/>
        <v>31.68</v>
      </c>
      <c r="L419" s="28">
        <f t="shared" si="187"/>
        <v>697.55</v>
      </c>
      <c r="M419" s="28">
        <f t="shared" si="188"/>
        <v>891.96</v>
      </c>
      <c r="N419" s="96"/>
      <c r="O419" s="97"/>
    </row>
    <row r="420" spans="1:15" ht="12.75" customHeight="1" x14ac:dyDescent="0.2">
      <c r="A420" s="23" t="s">
        <v>1073</v>
      </c>
      <c r="B420" s="24" t="s">
        <v>611</v>
      </c>
      <c r="C420" s="40" t="s">
        <v>612</v>
      </c>
      <c r="D420" s="25" t="s">
        <v>613</v>
      </c>
      <c r="E420" s="26" t="s">
        <v>14</v>
      </c>
      <c r="F420" s="27">
        <v>1</v>
      </c>
      <c r="G420" s="28">
        <v>598.89</v>
      </c>
      <c r="H420" s="28">
        <v>31.68</v>
      </c>
      <c r="I420" s="28">
        <f t="shared" si="184"/>
        <v>630.56999999999994</v>
      </c>
      <c r="J420" s="28">
        <f t="shared" si="185"/>
        <v>598.89</v>
      </c>
      <c r="K420" s="28">
        <f t="shared" si="186"/>
        <v>31.68</v>
      </c>
      <c r="L420" s="28">
        <f t="shared" si="187"/>
        <v>630.56999999999994</v>
      </c>
      <c r="M420" s="28">
        <f t="shared" si="188"/>
        <v>806.31</v>
      </c>
      <c r="N420" s="96"/>
      <c r="O420" s="97"/>
    </row>
    <row r="421" spans="1:15" ht="12.75" customHeight="1" x14ac:dyDescent="0.2">
      <c r="A421" s="23" t="s">
        <v>1074</v>
      </c>
      <c r="B421" s="24" t="s">
        <v>615</v>
      </c>
      <c r="C421" s="40" t="s">
        <v>1075</v>
      </c>
      <c r="D421" s="25" t="s">
        <v>1076</v>
      </c>
      <c r="E421" s="26" t="s">
        <v>14</v>
      </c>
      <c r="F421" s="27">
        <v>2</v>
      </c>
      <c r="G421" s="28">
        <v>95.46</v>
      </c>
      <c r="H421" s="28">
        <v>2.1800000000000002</v>
      </c>
      <c r="I421" s="28">
        <f t="shared" si="184"/>
        <v>97.64</v>
      </c>
      <c r="J421" s="28">
        <f t="shared" si="185"/>
        <v>190.92</v>
      </c>
      <c r="K421" s="28">
        <f t="shared" si="186"/>
        <v>4.3600000000000003</v>
      </c>
      <c r="L421" s="28">
        <f t="shared" si="187"/>
        <v>195.28</v>
      </c>
      <c r="M421" s="28">
        <f t="shared" si="188"/>
        <v>249.7</v>
      </c>
      <c r="N421" s="96"/>
      <c r="O421" s="97"/>
    </row>
    <row r="422" spans="1:15" ht="12.75" customHeight="1" x14ac:dyDescent="0.2">
      <c r="A422" s="23" t="s">
        <v>1077</v>
      </c>
      <c r="B422" s="24" t="s">
        <v>631</v>
      </c>
      <c r="C422" s="40" t="s">
        <v>632</v>
      </c>
      <c r="D422" s="25" t="s">
        <v>633</v>
      </c>
      <c r="E422" s="26" t="s">
        <v>14</v>
      </c>
      <c r="F422" s="27">
        <v>2</v>
      </c>
      <c r="G422" s="28">
        <v>318.49</v>
      </c>
      <c r="H422" s="28">
        <v>21.69</v>
      </c>
      <c r="I422" s="28">
        <f t="shared" si="184"/>
        <v>340.18</v>
      </c>
      <c r="J422" s="28">
        <f t="shared" si="185"/>
        <v>636.98</v>
      </c>
      <c r="K422" s="28">
        <f t="shared" si="186"/>
        <v>43.38</v>
      </c>
      <c r="L422" s="28">
        <f t="shared" si="187"/>
        <v>680.36</v>
      </c>
      <c r="M422" s="28">
        <f t="shared" si="188"/>
        <v>869.98</v>
      </c>
      <c r="N422" s="96"/>
      <c r="O422" s="97"/>
    </row>
    <row r="423" spans="1:15" ht="12.75" customHeight="1" x14ac:dyDescent="0.2">
      <c r="A423" s="23" t="s">
        <v>1078</v>
      </c>
      <c r="B423" s="24" t="s">
        <v>635</v>
      </c>
      <c r="C423" s="40" t="s">
        <v>636</v>
      </c>
      <c r="D423" s="25" t="s">
        <v>637</v>
      </c>
      <c r="E423" s="26" t="s">
        <v>14</v>
      </c>
      <c r="F423" s="27">
        <v>1</v>
      </c>
      <c r="G423" s="28">
        <v>340.59</v>
      </c>
      <c r="H423" s="28">
        <v>21.69</v>
      </c>
      <c r="I423" s="28">
        <f t="shared" si="184"/>
        <v>362.28</v>
      </c>
      <c r="J423" s="28">
        <f t="shared" si="185"/>
        <v>340.59</v>
      </c>
      <c r="K423" s="28">
        <f t="shared" si="186"/>
        <v>21.69</v>
      </c>
      <c r="L423" s="28">
        <f t="shared" si="187"/>
        <v>362.28</v>
      </c>
      <c r="M423" s="28">
        <f t="shared" si="188"/>
        <v>463.25</v>
      </c>
      <c r="N423" s="96"/>
      <c r="O423" s="97"/>
    </row>
    <row r="424" spans="1:15" ht="12.75" customHeight="1" x14ac:dyDescent="0.2">
      <c r="A424" s="23" t="s">
        <v>1079</v>
      </c>
      <c r="B424" s="24" t="s">
        <v>639</v>
      </c>
      <c r="C424" s="40" t="s">
        <v>640</v>
      </c>
      <c r="D424" s="25" t="s">
        <v>641</v>
      </c>
      <c r="E424" s="26" t="s">
        <v>14</v>
      </c>
      <c r="F424" s="27">
        <v>2</v>
      </c>
      <c r="G424" s="28">
        <v>355.29</v>
      </c>
      <c r="H424" s="28">
        <v>21.69</v>
      </c>
      <c r="I424" s="28">
        <f t="shared" si="184"/>
        <v>376.98</v>
      </c>
      <c r="J424" s="28">
        <f t="shared" si="185"/>
        <v>710.58</v>
      </c>
      <c r="K424" s="28">
        <f t="shared" si="186"/>
        <v>43.38</v>
      </c>
      <c r="L424" s="28">
        <f t="shared" si="187"/>
        <v>753.96</v>
      </c>
      <c r="M424" s="28">
        <f t="shared" si="188"/>
        <v>964.09</v>
      </c>
      <c r="N424" s="96"/>
      <c r="O424" s="97"/>
    </row>
    <row r="425" spans="1:15" ht="12.75" customHeight="1" x14ac:dyDescent="0.2">
      <c r="A425" s="23" t="s">
        <v>1080</v>
      </c>
      <c r="B425" s="24" t="s">
        <v>643</v>
      </c>
      <c r="C425" s="40" t="s">
        <v>644</v>
      </c>
      <c r="D425" s="25" t="s">
        <v>645</v>
      </c>
      <c r="E425" s="26" t="s">
        <v>14</v>
      </c>
      <c r="F425" s="27">
        <v>2</v>
      </c>
      <c r="G425" s="28">
        <v>48.07</v>
      </c>
      <c r="H425" s="28">
        <v>7.23</v>
      </c>
      <c r="I425" s="28">
        <f t="shared" si="184"/>
        <v>55.3</v>
      </c>
      <c r="J425" s="28">
        <f t="shared" si="185"/>
        <v>96.14</v>
      </c>
      <c r="K425" s="28">
        <f t="shared" si="186"/>
        <v>14.46</v>
      </c>
      <c r="L425" s="28">
        <f t="shared" si="187"/>
        <v>110.6</v>
      </c>
      <c r="M425" s="28">
        <f t="shared" si="188"/>
        <v>141.41999999999999</v>
      </c>
      <c r="N425" s="96"/>
      <c r="O425" s="97"/>
    </row>
    <row r="426" spans="1:15" ht="12.75" customHeight="1" x14ac:dyDescent="0.2">
      <c r="A426" s="23" t="s">
        <v>1081</v>
      </c>
      <c r="B426" s="24" t="s">
        <v>647</v>
      </c>
      <c r="C426" s="40" t="s">
        <v>648</v>
      </c>
      <c r="D426" s="25" t="s">
        <v>649</v>
      </c>
      <c r="E426" s="26" t="s">
        <v>14</v>
      </c>
      <c r="F426" s="27">
        <v>2</v>
      </c>
      <c r="G426" s="28">
        <v>47.37</v>
      </c>
      <c r="H426" s="28">
        <v>0</v>
      </c>
      <c r="I426" s="28">
        <f t="shared" si="184"/>
        <v>47.37</v>
      </c>
      <c r="J426" s="28">
        <f t="shared" si="185"/>
        <v>94.74</v>
      </c>
      <c r="K426" s="28">
        <f t="shared" si="186"/>
        <v>0</v>
      </c>
      <c r="L426" s="28">
        <f t="shared" si="187"/>
        <v>94.74</v>
      </c>
      <c r="M426" s="28">
        <f t="shared" si="188"/>
        <v>121.14</v>
      </c>
      <c r="N426" s="96"/>
      <c r="O426" s="97"/>
    </row>
    <row r="427" spans="1:15" ht="12.75" customHeight="1" x14ac:dyDescent="0.2">
      <c r="A427" s="23" t="s">
        <v>1082</v>
      </c>
      <c r="B427" s="24" t="s">
        <v>651</v>
      </c>
      <c r="C427" s="40" t="s">
        <v>652</v>
      </c>
      <c r="D427" s="25" t="s">
        <v>653</v>
      </c>
      <c r="E427" s="26" t="s">
        <v>14</v>
      </c>
      <c r="F427" s="27">
        <v>3</v>
      </c>
      <c r="G427" s="28">
        <v>47.37</v>
      </c>
      <c r="H427" s="28">
        <v>0</v>
      </c>
      <c r="I427" s="28">
        <f t="shared" si="184"/>
        <v>47.37</v>
      </c>
      <c r="J427" s="28">
        <f t="shared" si="185"/>
        <v>142.10999999999999</v>
      </c>
      <c r="K427" s="28">
        <f t="shared" si="186"/>
        <v>0</v>
      </c>
      <c r="L427" s="28">
        <f t="shared" si="187"/>
        <v>142.10999999999999</v>
      </c>
      <c r="M427" s="28">
        <f t="shared" si="188"/>
        <v>181.72</v>
      </c>
      <c r="N427" s="96"/>
      <c r="O427" s="97"/>
    </row>
    <row r="428" spans="1:15" ht="12.75" customHeight="1" x14ac:dyDescent="0.2">
      <c r="A428" s="23" t="s">
        <v>1083</v>
      </c>
      <c r="B428" s="24" t="s">
        <v>1084</v>
      </c>
      <c r="C428" s="40" t="s">
        <v>656</v>
      </c>
      <c r="D428" s="25" t="s">
        <v>657</v>
      </c>
      <c r="E428" s="26" t="s">
        <v>30</v>
      </c>
      <c r="F428" s="27">
        <v>0.96</v>
      </c>
      <c r="G428" s="28">
        <v>487.33</v>
      </c>
      <c r="H428" s="28">
        <v>0</v>
      </c>
      <c r="I428" s="28">
        <f t="shared" si="184"/>
        <v>487.33</v>
      </c>
      <c r="J428" s="28">
        <f t="shared" si="185"/>
        <v>467.83679999999998</v>
      </c>
      <c r="K428" s="28">
        <f t="shared" si="186"/>
        <v>0</v>
      </c>
      <c r="L428" s="28">
        <f t="shared" si="187"/>
        <v>467.83679999999998</v>
      </c>
      <c r="M428" s="28">
        <f t="shared" si="188"/>
        <v>598.22</v>
      </c>
      <c r="N428" s="96"/>
      <c r="O428" s="97"/>
    </row>
    <row r="429" spans="1:15" ht="12.75" customHeight="1" x14ac:dyDescent="0.2">
      <c r="A429" s="23"/>
      <c r="B429" s="24"/>
      <c r="C429" s="40"/>
      <c r="D429" s="25"/>
      <c r="E429" s="26"/>
      <c r="F429" s="27"/>
      <c r="G429" s="28"/>
      <c r="H429" s="28"/>
      <c r="I429" s="28"/>
      <c r="J429" s="28"/>
      <c r="K429" s="28"/>
      <c r="L429" s="28"/>
      <c r="M429" s="28"/>
      <c r="N429" s="96"/>
      <c r="O429" s="97"/>
    </row>
    <row r="430" spans="1:15" ht="13.5" customHeight="1" x14ac:dyDescent="0.2">
      <c r="A430" s="29" t="s">
        <v>1085</v>
      </c>
      <c r="B430" s="239" t="s">
        <v>813</v>
      </c>
      <c r="C430" s="240"/>
      <c r="D430" s="47"/>
      <c r="E430" s="48"/>
      <c r="F430" s="49"/>
      <c r="G430" s="33"/>
      <c r="H430" s="33"/>
      <c r="I430" s="33"/>
      <c r="J430" s="33">
        <f t="shared" ref="J430:M430" si="189">SUM(J431:J434)</f>
        <v>966.52</v>
      </c>
      <c r="K430" s="33">
        <f t="shared" si="189"/>
        <v>67.179999999999993</v>
      </c>
      <c r="L430" s="33">
        <f t="shared" si="189"/>
        <v>1033.7</v>
      </c>
      <c r="M430" s="33">
        <f t="shared" si="189"/>
        <v>1321.7900000000002</v>
      </c>
      <c r="N430" s="117">
        <f>M430</f>
        <v>1321.7900000000002</v>
      </c>
      <c r="O430" s="118"/>
    </row>
    <row r="431" spans="1:15" ht="12.75" customHeight="1" x14ac:dyDescent="0.2">
      <c r="A431" s="23" t="s">
        <v>814</v>
      </c>
      <c r="B431" s="24" t="s">
        <v>815</v>
      </c>
      <c r="C431" s="40" t="s">
        <v>816</v>
      </c>
      <c r="D431" s="25" t="s">
        <v>817</v>
      </c>
      <c r="E431" s="26" t="s">
        <v>76</v>
      </c>
      <c r="F431" s="27">
        <v>2</v>
      </c>
      <c r="G431" s="28">
        <v>196.97</v>
      </c>
      <c r="H431" s="28">
        <v>14.6</v>
      </c>
      <c r="I431" s="28">
        <v>211.57</v>
      </c>
      <c r="J431" s="28">
        <v>393.94</v>
      </c>
      <c r="K431" s="28">
        <v>29.2</v>
      </c>
      <c r="L431" s="28">
        <v>423.14</v>
      </c>
      <c r="M431" s="28">
        <f t="shared" ref="M431:M434" si="190">ROUND(L431*(1+$M$4),2)</f>
        <v>541.07000000000005</v>
      </c>
      <c r="N431" s="119"/>
      <c r="O431" s="111"/>
    </row>
    <row r="432" spans="1:15" ht="12.75" customHeight="1" x14ac:dyDescent="0.2">
      <c r="A432" s="23" t="s">
        <v>818</v>
      </c>
      <c r="B432" s="24" t="s">
        <v>819</v>
      </c>
      <c r="C432" s="40" t="s">
        <v>820</v>
      </c>
      <c r="D432" s="25" t="s">
        <v>821</v>
      </c>
      <c r="E432" s="26" t="s">
        <v>76</v>
      </c>
      <c r="F432" s="27">
        <v>2</v>
      </c>
      <c r="G432" s="28">
        <v>173.22</v>
      </c>
      <c r="H432" s="28">
        <v>14.6</v>
      </c>
      <c r="I432" s="28">
        <v>187.82</v>
      </c>
      <c r="J432" s="28">
        <v>346.44</v>
      </c>
      <c r="K432" s="28">
        <v>29.2</v>
      </c>
      <c r="L432" s="28">
        <v>375.64</v>
      </c>
      <c r="M432" s="28">
        <f t="shared" si="190"/>
        <v>480.33</v>
      </c>
      <c r="N432" s="119"/>
      <c r="O432" s="111"/>
    </row>
    <row r="433" spans="1:15" ht="12.75" customHeight="1" x14ac:dyDescent="0.2">
      <c r="A433" s="23" t="s">
        <v>822</v>
      </c>
      <c r="B433" s="24" t="s">
        <v>823</v>
      </c>
      <c r="C433" s="40" t="s">
        <v>824</v>
      </c>
      <c r="D433" s="25" t="s">
        <v>825</v>
      </c>
      <c r="E433" s="26" t="s">
        <v>76</v>
      </c>
      <c r="F433" s="27">
        <v>5</v>
      </c>
      <c r="G433" s="28">
        <v>13.88</v>
      </c>
      <c r="H433" s="28">
        <v>0</v>
      </c>
      <c r="I433" s="28">
        <v>13.88</v>
      </c>
      <c r="J433" s="28">
        <v>180.44</v>
      </c>
      <c r="K433" s="28">
        <v>0</v>
      </c>
      <c r="L433" s="28">
        <v>180.44</v>
      </c>
      <c r="M433" s="28">
        <f t="shared" si="190"/>
        <v>230.73</v>
      </c>
      <c r="N433" s="119"/>
      <c r="O433" s="111"/>
    </row>
    <row r="434" spans="1:15" ht="12.75" customHeight="1" x14ac:dyDescent="0.2">
      <c r="A434" s="23" t="s">
        <v>826</v>
      </c>
      <c r="B434" s="24" t="s">
        <v>827</v>
      </c>
      <c r="C434" s="40" t="s">
        <v>828</v>
      </c>
      <c r="D434" s="25" t="s">
        <v>829</v>
      </c>
      <c r="E434" s="26" t="s">
        <v>76</v>
      </c>
      <c r="F434" s="27">
        <v>2</v>
      </c>
      <c r="G434" s="28">
        <v>22.85</v>
      </c>
      <c r="H434" s="28">
        <v>4.3899999999999997</v>
      </c>
      <c r="I434" s="28">
        <v>27.24</v>
      </c>
      <c r="J434" s="28">
        <f>G434*F434</f>
        <v>45.7</v>
      </c>
      <c r="K434" s="28">
        <f>H434*F434</f>
        <v>8.7799999999999994</v>
      </c>
      <c r="L434" s="28">
        <f>SUM(J434:K434)</f>
        <v>54.480000000000004</v>
      </c>
      <c r="M434" s="28">
        <f t="shared" si="190"/>
        <v>69.66</v>
      </c>
      <c r="N434" s="119"/>
      <c r="O434" s="111"/>
    </row>
    <row r="435" spans="1:15" ht="12.75" customHeight="1" x14ac:dyDescent="0.2">
      <c r="A435" s="23"/>
      <c r="B435" s="24"/>
      <c r="C435" s="40"/>
      <c r="D435" s="25"/>
      <c r="E435" s="26"/>
      <c r="F435" s="27"/>
      <c r="G435" s="28"/>
      <c r="H435" s="28"/>
      <c r="I435" s="28"/>
      <c r="J435" s="28"/>
      <c r="K435" s="28"/>
      <c r="L435" s="28"/>
      <c r="M435" s="28"/>
      <c r="N435" s="119"/>
      <c r="O435" s="111"/>
    </row>
    <row r="436" spans="1:15" ht="13.5" customHeight="1" x14ac:dyDescent="0.2">
      <c r="A436" s="29" t="s">
        <v>1086</v>
      </c>
      <c r="B436" s="239" t="s">
        <v>1087</v>
      </c>
      <c r="C436" s="240"/>
      <c r="D436" s="47"/>
      <c r="E436" s="48"/>
      <c r="F436" s="49"/>
      <c r="G436" s="33"/>
      <c r="H436" s="33"/>
      <c r="I436" s="33"/>
      <c r="J436" s="33">
        <f t="shared" ref="J436:M436" si="191">SUM(J437:J439)</f>
        <v>432.26</v>
      </c>
      <c r="K436" s="33">
        <f t="shared" si="191"/>
        <v>381.6</v>
      </c>
      <c r="L436" s="33">
        <f t="shared" si="191"/>
        <v>813.86</v>
      </c>
      <c r="M436" s="33">
        <f t="shared" si="191"/>
        <v>1040.68</v>
      </c>
      <c r="N436" s="117">
        <f>M436</f>
        <v>1040.68</v>
      </c>
      <c r="O436" s="118"/>
    </row>
    <row r="437" spans="1:15" ht="12.75" customHeight="1" x14ac:dyDescent="0.2">
      <c r="A437" s="23" t="s">
        <v>887</v>
      </c>
      <c r="B437" s="24" t="s">
        <v>888</v>
      </c>
      <c r="C437" s="40" t="s">
        <v>889</v>
      </c>
      <c r="D437" s="25" t="s">
        <v>890</v>
      </c>
      <c r="E437" s="26" t="s">
        <v>14</v>
      </c>
      <c r="F437" s="27">
        <v>7</v>
      </c>
      <c r="G437" s="28">
        <v>42.68</v>
      </c>
      <c r="H437" s="28">
        <v>0</v>
      </c>
      <c r="I437" s="28">
        <f t="shared" ref="I437:I438" si="192">G437+H437</f>
        <v>42.68</v>
      </c>
      <c r="J437" s="28">
        <f t="shared" ref="J437:J439" si="193">G437*F437</f>
        <v>298.76</v>
      </c>
      <c r="K437" s="28">
        <f t="shared" ref="K437:K439" si="194">H437*F437</f>
        <v>0</v>
      </c>
      <c r="L437" s="28">
        <f t="shared" ref="L437:L439" si="195">J437+K437</f>
        <v>298.76</v>
      </c>
      <c r="M437" s="28">
        <f t="shared" ref="M437:M439" si="196">ROUND(L437*(1+$M$4),2)</f>
        <v>382.02</v>
      </c>
      <c r="N437" s="119"/>
      <c r="O437" s="111"/>
    </row>
    <row r="438" spans="1:15" ht="12.75" customHeight="1" x14ac:dyDescent="0.2">
      <c r="A438" s="23" t="s">
        <v>891</v>
      </c>
      <c r="B438" s="24" t="s">
        <v>892</v>
      </c>
      <c r="C438" s="40" t="s">
        <v>1088</v>
      </c>
      <c r="D438" s="25" t="s">
        <v>894</v>
      </c>
      <c r="E438" s="26" t="s">
        <v>30</v>
      </c>
      <c r="F438" s="27">
        <v>150</v>
      </c>
      <c r="G438" s="28">
        <v>0.6</v>
      </c>
      <c r="H438" s="28">
        <v>1.31</v>
      </c>
      <c r="I438" s="28">
        <f t="shared" si="192"/>
        <v>1.9100000000000001</v>
      </c>
      <c r="J438" s="28">
        <f t="shared" si="193"/>
        <v>90</v>
      </c>
      <c r="K438" s="28">
        <f t="shared" si="194"/>
        <v>196.5</v>
      </c>
      <c r="L438" s="28">
        <f t="shared" si="195"/>
        <v>286.5</v>
      </c>
      <c r="M438" s="28">
        <f t="shared" si="196"/>
        <v>366.35</v>
      </c>
      <c r="N438" s="119"/>
      <c r="O438" s="111"/>
    </row>
    <row r="439" spans="1:15" ht="12.75" customHeight="1" x14ac:dyDescent="0.2">
      <c r="A439" s="23" t="s">
        <v>895</v>
      </c>
      <c r="B439" s="24" t="s">
        <v>896</v>
      </c>
      <c r="C439" s="40" t="s">
        <v>897</v>
      </c>
      <c r="D439" s="25" t="s">
        <v>898</v>
      </c>
      <c r="E439" s="26" t="s">
        <v>158</v>
      </c>
      <c r="F439" s="27">
        <v>15</v>
      </c>
      <c r="G439" s="28">
        <v>2.9</v>
      </c>
      <c r="H439" s="28">
        <v>12.34</v>
      </c>
      <c r="I439" s="28">
        <f>SUM(G439:H439)</f>
        <v>15.24</v>
      </c>
      <c r="J439" s="28">
        <f t="shared" si="193"/>
        <v>43.5</v>
      </c>
      <c r="K439" s="28">
        <f t="shared" si="194"/>
        <v>185.1</v>
      </c>
      <c r="L439" s="28">
        <f t="shared" si="195"/>
        <v>228.6</v>
      </c>
      <c r="M439" s="28">
        <f t="shared" si="196"/>
        <v>292.31</v>
      </c>
      <c r="N439" s="119"/>
      <c r="O439" s="111"/>
    </row>
    <row r="440" spans="1:15" ht="12.75" customHeight="1" x14ac:dyDescent="0.2">
      <c r="N440" s="1"/>
    </row>
    <row r="441" spans="1:15" ht="12.75" customHeight="1" x14ac:dyDescent="0.2">
      <c r="A441" s="247"/>
      <c r="B441" s="243"/>
      <c r="C441" s="243"/>
      <c r="D441" s="243"/>
      <c r="E441" s="243"/>
      <c r="F441" s="243"/>
      <c r="G441" s="243"/>
      <c r="H441" s="243"/>
      <c r="I441" s="243"/>
      <c r="J441" s="243"/>
      <c r="K441" s="243"/>
      <c r="L441" s="243"/>
      <c r="M441" s="244"/>
      <c r="N441" s="1"/>
    </row>
    <row r="442" spans="1:15" ht="12.75" customHeight="1" x14ac:dyDescent="0.2">
      <c r="N442" s="1"/>
    </row>
    <row r="443" spans="1:15" ht="12.75" customHeight="1" x14ac:dyDescent="0.2">
      <c r="N443" s="1"/>
    </row>
    <row r="444" spans="1:15" ht="12.75" customHeight="1" x14ac:dyDescent="0.2">
      <c r="N444" s="1"/>
    </row>
    <row r="445" spans="1:15" ht="12.75" customHeight="1" x14ac:dyDescent="0.2">
      <c r="N445" s="1"/>
    </row>
    <row r="446" spans="1:15" ht="12.75" customHeight="1" x14ac:dyDescent="0.2">
      <c r="N446" s="1"/>
    </row>
    <row r="447" spans="1:15" ht="12.75" customHeight="1" x14ac:dyDescent="0.2">
      <c r="N447" s="1"/>
    </row>
    <row r="448" spans="1:15" ht="12.75" customHeight="1" x14ac:dyDescent="0.2">
      <c r="N448" s="1"/>
    </row>
    <row r="449" spans="14:14" ht="12.75" customHeight="1" x14ac:dyDescent="0.2">
      <c r="N449" s="1"/>
    </row>
    <row r="450" spans="14:14" ht="12.75" customHeight="1" x14ac:dyDescent="0.2">
      <c r="N450" s="1"/>
    </row>
    <row r="451" spans="14:14" ht="12.75" customHeight="1" x14ac:dyDescent="0.2">
      <c r="N451" s="1"/>
    </row>
    <row r="452" spans="14:14" ht="12.75" customHeight="1" x14ac:dyDescent="0.2">
      <c r="N452" s="1"/>
    </row>
    <row r="453" spans="14:14" ht="12.75" customHeight="1" x14ac:dyDescent="0.2">
      <c r="N453" s="1"/>
    </row>
    <row r="454" spans="14:14" ht="12.75" customHeight="1" x14ac:dyDescent="0.2">
      <c r="N454" s="1"/>
    </row>
    <row r="455" spans="14:14" ht="12.75" customHeight="1" x14ac:dyDescent="0.2">
      <c r="N455" s="1"/>
    </row>
    <row r="456" spans="14:14" ht="12.75" customHeight="1" x14ac:dyDescent="0.2">
      <c r="N456" s="1"/>
    </row>
    <row r="457" spans="14:14" ht="12.75" customHeight="1" x14ac:dyDescent="0.2">
      <c r="N457" s="1"/>
    </row>
    <row r="458" spans="14:14" ht="12.75" customHeight="1" x14ac:dyDescent="0.2">
      <c r="N458" s="1"/>
    </row>
    <row r="459" spans="14:14" ht="12.75" customHeight="1" x14ac:dyDescent="0.2">
      <c r="N459" s="1"/>
    </row>
    <row r="460" spans="14:14" ht="12.75" customHeight="1" x14ac:dyDescent="0.2">
      <c r="N460" s="1"/>
    </row>
    <row r="461" spans="14:14" ht="12.75" customHeight="1" x14ac:dyDescent="0.2">
      <c r="N461" s="1"/>
    </row>
    <row r="462" spans="14:14" ht="12.75" customHeight="1" x14ac:dyDescent="0.2">
      <c r="N462" s="1"/>
    </row>
    <row r="463" spans="14:14" ht="12.75" customHeight="1" x14ac:dyDescent="0.2">
      <c r="N463" s="1"/>
    </row>
    <row r="464" spans="14:14" ht="12.75" customHeight="1" x14ac:dyDescent="0.2">
      <c r="N464" s="1"/>
    </row>
    <row r="465" spans="14:14" ht="12.75" customHeight="1" x14ac:dyDescent="0.2">
      <c r="N465" s="1"/>
    </row>
    <row r="466" spans="14:14" ht="12.75" customHeight="1" x14ac:dyDescent="0.2">
      <c r="N466" s="1"/>
    </row>
    <row r="467" spans="14:14" ht="12.75" customHeight="1" x14ac:dyDescent="0.2">
      <c r="N467" s="1"/>
    </row>
    <row r="468" spans="14:14" ht="12.75" customHeight="1" x14ac:dyDescent="0.2">
      <c r="N468" s="1"/>
    </row>
    <row r="469" spans="14:14" ht="12.75" customHeight="1" x14ac:dyDescent="0.2">
      <c r="N469" s="1"/>
    </row>
    <row r="470" spans="14:14" ht="12.75" customHeight="1" x14ac:dyDescent="0.2">
      <c r="N470" s="1"/>
    </row>
    <row r="471" spans="14:14" ht="12.75" customHeight="1" x14ac:dyDescent="0.2">
      <c r="N471" s="1"/>
    </row>
    <row r="472" spans="14:14" ht="12.75" customHeight="1" x14ac:dyDescent="0.2">
      <c r="N472" s="1"/>
    </row>
    <row r="473" spans="14:14" ht="12.75" customHeight="1" x14ac:dyDescent="0.2">
      <c r="N473" s="1"/>
    </row>
    <row r="474" spans="14:14" ht="12.75" customHeight="1" x14ac:dyDescent="0.2">
      <c r="N474" s="1"/>
    </row>
    <row r="475" spans="14:14" ht="12.75" customHeight="1" x14ac:dyDescent="0.2">
      <c r="N475" s="1"/>
    </row>
    <row r="476" spans="14:14" ht="12.75" customHeight="1" x14ac:dyDescent="0.2">
      <c r="N476" s="1"/>
    </row>
    <row r="477" spans="14:14" ht="12.75" customHeight="1" x14ac:dyDescent="0.2">
      <c r="N477" s="1"/>
    </row>
    <row r="478" spans="14:14" ht="12.75" customHeight="1" x14ac:dyDescent="0.2">
      <c r="N478" s="1"/>
    </row>
    <row r="479" spans="14:14" ht="12.75" customHeight="1" x14ac:dyDescent="0.2">
      <c r="N479" s="1"/>
    </row>
    <row r="480" spans="14:14" ht="12.75" customHeight="1" x14ac:dyDescent="0.2">
      <c r="N480" s="1"/>
    </row>
    <row r="481" spans="14:14" ht="12.75" customHeight="1" x14ac:dyDescent="0.2">
      <c r="N481" s="1"/>
    </row>
    <row r="482" spans="14:14" ht="12.75" customHeight="1" x14ac:dyDescent="0.2">
      <c r="N482" s="1"/>
    </row>
    <row r="483" spans="14:14" ht="12.75" customHeight="1" x14ac:dyDescent="0.2">
      <c r="N483" s="1"/>
    </row>
    <row r="484" spans="14:14" ht="12.75" customHeight="1" x14ac:dyDescent="0.2">
      <c r="N484" s="1"/>
    </row>
    <row r="485" spans="14:14" ht="12.75" customHeight="1" x14ac:dyDescent="0.2">
      <c r="N485" s="1"/>
    </row>
    <row r="486" spans="14:14" ht="12.75" customHeight="1" x14ac:dyDescent="0.2">
      <c r="N486" s="1"/>
    </row>
    <row r="487" spans="14:14" ht="12.75" customHeight="1" x14ac:dyDescent="0.2">
      <c r="N487" s="1"/>
    </row>
    <row r="488" spans="14:14" ht="12.75" customHeight="1" x14ac:dyDescent="0.2">
      <c r="N488" s="1"/>
    </row>
    <row r="489" spans="14:14" ht="12.75" customHeight="1" x14ac:dyDescent="0.2">
      <c r="N489" s="1"/>
    </row>
    <row r="490" spans="14:14" ht="12.75" customHeight="1" x14ac:dyDescent="0.2">
      <c r="N490" s="1"/>
    </row>
    <row r="491" spans="14:14" ht="12.75" customHeight="1" x14ac:dyDescent="0.2">
      <c r="N491" s="1"/>
    </row>
    <row r="492" spans="14:14" ht="12.75" customHeight="1" x14ac:dyDescent="0.2">
      <c r="N492" s="1"/>
    </row>
    <row r="493" spans="14:14" ht="12.75" customHeight="1" x14ac:dyDescent="0.2">
      <c r="N493" s="1"/>
    </row>
    <row r="494" spans="14:14" ht="12.75" customHeight="1" x14ac:dyDescent="0.2">
      <c r="N494" s="1"/>
    </row>
    <row r="495" spans="14:14" ht="12.75" customHeight="1" x14ac:dyDescent="0.2">
      <c r="N495" s="1"/>
    </row>
    <row r="496" spans="14:14" ht="12.75" customHeight="1" x14ac:dyDescent="0.2">
      <c r="N496" s="1"/>
    </row>
    <row r="497" spans="14:14" ht="12.75" customHeight="1" x14ac:dyDescent="0.2">
      <c r="N497" s="1"/>
    </row>
    <row r="498" spans="14:14" ht="12.75" customHeight="1" x14ac:dyDescent="0.2">
      <c r="N498" s="1"/>
    </row>
    <row r="499" spans="14:14" ht="12.75" customHeight="1" x14ac:dyDescent="0.2">
      <c r="N499" s="1"/>
    </row>
    <row r="500" spans="14:14" ht="12.75" customHeight="1" x14ac:dyDescent="0.2">
      <c r="N500" s="1"/>
    </row>
    <row r="501" spans="14:14" ht="12.75" customHeight="1" x14ac:dyDescent="0.2">
      <c r="N501" s="1"/>
    </row>
    <row r="502" spans="14:14" ht="12.75" customHeight="1" x14ac:dyDescent="0.2">
      <c r="N502" s="1"/>
    </row>
    <row r="503" spans="14:14" ht="12.75" customHeight="1" x14ac:dyDescent="0.2">
      <c r="N503" s="1"/>
    </row>
    <row r="504" spans="14:14" ht="12.75" customHeight="1" x14ac:dyDescent="0.2">
      <c r="N504" s="1"/>
    </row>
    <row r="505" spans="14:14" ht="12.75" customHeight="1" x14ac:dyDescent="0.2">
      <c r="N505" s="1"/>
    </row>
    <row r="506" spans="14:14" ht="12.75" customHeight="1" x14ac:dyDescent="0.2">
      <c r="N506" s="1"/>
    </row>
    <row r="507" spans="14:14" ht="12.75" customHeight="1" x14ac:dyDescent="0.2">
      <c r="N507" s="1"/>
    </row>
    <row r="508" spans="14:14" ht="12.75" customHeight="1" x14ac:dyDescent="0.2">
      <c r="N508" s="1"/>
    </row>
    <row r="509" spans="14:14" ht="12.75" customHeight="1" x14ac:dyDescent="0.2">
      <c r="N509" s="1"/>
    </row>
    <row r="510" spans="14:14" ht="12.75" customHeight="1" x14ac:dyDescent="0.2">
      <c r="N510" s="1"/>
    </row>
    <row r="511" spans="14:14" ht="12.75" customHeight="1" x14ac:dyDescent="0.2">
      <c r="N511" s="1"/>
    </row>
    <row r="512" spans="14:14" ht="12.75" customHeight="1" x14ac:dyDescent="0.2">
      <c r="N512" s="1"/>
    </row>
    <row r="513" spans="14:14" ht="12.75" customHeight="1" x14ac:dyDescent="0.2">
      <c r="N513" s="1"/>
    </row>
    <row r="514" spans="14:14" ht="12.75" customHeight="1" x14ac:dyDescent="0.2">
      <c r="N514" s="1"/>
    </row>
    <row r="515" spans="14:14" ht="12.75" customHeight="1" x14ac:dyDescent="0.2">
      <c r="N515" s="1"/>
    </row>
    <row r="516" spans="14:14" ht="12.75" customHeight="1" x14ac:dyDescent="0.2">
      <c r="N516" s="1"/>
    </row>
    <row r="517" spans="14:14" ht="12.75" customHeight="1" x14ac:dyDescent="0.2">
      <c r="N517" s="1"/>
    </row>
    <row r="518" spans="14:14" ht="12.75" customHeight="1" x14ac:dyDescent="0.2">
      <c r="N518" s="1"/>
    </row>
    <row r="519" spans="14:14" ht="12.75" customHeight="1" x14ac:dyDescent="0.2">
      <c r="N519" s="1"/>
    </row>
    <row r="520" spans="14:14" ht="12.75" customHeight="1" x14ac:dyDescent="0.2">
      <c r="N520" s="1"/>
    </row>
    <row r="521" spans="14:14" ht="12.75" customHeight="1" x14ac:dyDescent="0.2">
      <c r="N521" s="1"/>
    </row>
    <row r="522" spans="14:14" ht="12.75" customHeight="1" x14ac:dyDescent="0.2">
      <c r="N522" s="1"/>
    </row>
    <row r="523" spans="14:14" ht="12.75" customHeight="1" x14ac:dyDescent="0.2">
      <c r="N523" s="1"/>
    </row>
    <row r="524" spans="14:14" ht="12.75" customHeight="1" x14ac:dyDescent="0.2">
      <c r="N524" s="1"/>
    </row>
    <row r="525" spans="14:14" ht="12.75" customHeight="1" x14ac:dyDescent="0.2">
      <c r="N525" s="1"/>
    </row>
    <row r="526" spans="14:14" ht="12.75" customHeight="1" x14ac:dyDescent="0.2">
      <c r="N526" s="1"/>
    </row>
    <row r="527" spans="14:14" ht="12.75" customHeight="1" x14ac:dyDescent="0.2">
      <c r="N527" s="1"/>
    </row>
    <row r="528" spans="14:14" ht="12.75" customHeight="1" x14ac:dyDescent="0.2">
      <c r="N528" s="1"/>
    </row>
    <row r="529" spans="14:14" ht="12.75" customHeight="1" x14ac:dyDescent="0.2">
      <c r="N529" s="1"/>
    </row>
    <row r="530" spans="14:14" ht="12.75" customHeight="1" x14ac:dyDescent="0.2">
      <c r="N530" s="1"/>
    </row>
    <row r="531" spans="14:14" ht="12.75" customHeight="1" x14ac:dyDescent="0.2">
      <c r="N531" s="1"/>
    </row>
    <row r="532" spans="14:14" ht="12.75" customHeight="1" x14ac:dyDescent="0.2">
      <c r="N532" s="1"/>
    </row>
    <row r="533" spans="14:14" ht="12.75" customHeight="1" x14ac:dyDescent="0.2">
      <c r="N533" s="1"/>
    </row>
    <row r="534" spans="14:14" ht="12.75" customHeight="1" x14ac:dyDescent="0.2">
      <c r="N534" s="1"/>
    </row>
    <row r="535" spans="14:14" ht="12.75" customHeight="1" x14ac:dyDescent="0.2">
      <c r="N535" s="1"/>
    </row>
    <row r="536" spans="14:14" ht="12.75" customHeight="1" x14ac:dyDescent="0.2">
      <c r="N536" s="1"/>
    </row>
    <row r="537" spans="14:14" ht="12.75" customHeight="1" x14ac:dyDescent="0.2">
      <c r="N537" s="1"/>
    </row>
    <row r="538" spans="14:14" ht="12.75" customHeight="1" x14ac:dyDescent="0.2">
      <c r="N538" s="1"/>
    </row>
    <row r="539" spans="14:14" ht="12.75" customHeight="1" x14ac:dyDescent="0.2">
      <c r="N539" s="1"/>
    </row>
    <row r="540" spans="14:14" ht="12.75" customHeight="1" x14ac:dyDescent="0.2">
      <c r="N540" s="1"/>
    </row>
    <row r="541" spans="14:14" ht="12.75" customHeight="1" x14ac:dyDescent="0.2">
      <c r="N541" s="1"/>
    </row>
    <row r="542" spans="14:14" ht="12.75" customHeight="1" x14ac:dyDescent="0.2">
      <c r="N542" s="1"/>
    </row>
    <row r="543" spans="14:14" ht="12.75" customHeight="1" x14ac:dyDescent="0.2">
      <c r="N543" s="1"/>
    </row>
    <row r="544" spans="14:14" ht="12.75" customHeight="1" x14ac:dyDescent="0.2">
      <c r="N544" s="1"/>
    </row>
    <row r="545" spans="14:14" ht="12.75" customHeight="1" x14ac:dyDescent="0.2">
      <c r="N545" s="1"/>
    </row>
    <row r="546" spans="14:14" ht="12.75" customHeight="1" x14ac:dyDescent="0.2">
      <c r="N546" s="1"/>
    </row>
    <row r="547" spans="14:14" ht="12.75" customHeight="1" x14ac:dyDescent="0.2">
      <c r="N547" s="1"/>
    </row>
    <row r="548" spans="14:14" ht="12.75" customHeight="1" x14ac:dyDescent="0.2">
      <c r="N548" s="1"/>
    </row>
    <row r="549" spans="14:14" ht="12.75" customHeight="1" x14ac:dyDescent="0.2">
      <c r="N549" s="1"/>
    </row>
    <row r="550" spans="14:14" ht="12.75" customHeight="1" x14ac:dyDescent="0.2">
      <c r="N550" s="1"/>
    </row>
    <row r="551" spans="14:14" ht="12.75" customHeight="1" x14ac:dyDescent="0.2">
      <c r="N551" s="1"/>
    </row>
    <row r="552" spans="14:14" ht="12.75" customHeight="1" x14ac:dyDescent="0.2">
      <c r="N552" s="1"/>
    </row>
    <row r="553" spans="14:14" ht="12.75" customHeight="1" x14ac:dyDescent="0.2">
      <c r="N553" s="1"/>
    </row>
    <row r="554" spans="14:14" ht="12.75" customHeight="1" x14ac:dyDescent="0.2">
      <c r="N554" s="1"/>
    </row>
    <row r="555" spans="14:14" ht="12.75" customHeight="1" x14ac:dyDescent="0.2">
      <c r="N555" s="1"/>
    </row>
    <row r="556" spans="14:14" ht="12.75" customHeight="1" x14ac:dyDescent="0.2">
      <c r="N556" s="1"/>
    </row>
    <row r="557" spans="14:14" ht="12.75" customHeight="1" x14ac:dyDescent="0.2">
      <c r="N557" s="1"/>
    </row>
    <row r="558" spans="14:14" ht="12.75" customHeight="1" x14ac:dyDescent="0.2">
      <c r="N558" s="1"/>
    </row>
    <row r="559" spans="14:14" ht="12.75" customHeight="1" x14ac:dyDescent="0.2">
      <c r="N559" s="1"/>
    </row>
    <row r="560" spans="14:14" ht="12.75" customHeight="1" x14ac:dyDescent="0.2">
      <c r="N560" s="1"/>
    </row>
    <row r="561" spans="14:14" ht="12.75" customHeight="1" x14ac:dyDescent="0.2">
      <c r="N561" s="1"/>
    </row>
    <row r="562" spans="14:14" ht="12.75" customHeight="1" x14ac:dyDescent="0.2">
      <c r="N562" s="1"/>
    </row>
    <row r="563" spans="14:14" ht="12.75" customHeight="1" x14ac:dyDescent="0.2">
      <c r="N563" s="1"/>
    </row>
    <row r="564" spans="14:14" ht="12.75" customHeight="1" x14ac:dyDescent="0.2">
      <c r="N564" s="1"/>
    </row>
    <row r="565" spans="14:14" ht="12.75" customHeight="1" x14ac:dyDescent="0.2">
      <c r="N565" s="1"/>
    </row>
    <row r="566" spans="14:14" ht="12.75" customHeight="1" x14ac:dyDescent="0.2">
      <c r="N566" s="1"/>
    </row>
    <row r="567" spans="14:14" ht="12.75" customHeight="1" x14ac:dyDescent="0.2">
      <c r="N567" s="1"/>
    </row>
    <row r="568" spans="14:14" ht="12.75" customHeight="1" x14ac:dyDescent="0.2">
      <c r="N568" s="1"/>
    </row>
    <row r="569" spans="14:14" ht="12.75" customHeight="1" x14ac:dyDescent="0.2">
      <c r="N569" s="1"/>
    </row>
    <row r="570" spans="14:14" ht="12.75" customHeight="1" x14ac:dyDescent="0.2">
      <c r="N570" s="1"/>
    </row>
    <row r="571" spans="14:14" ht="12.75" customHeight="1" x14ac:dyDescent="0.2">
      <c r="N571" s="1"/>
    </row>
    <row r="572" spans="14:14" ht="12.75" customHeight="1" x14ac:dyDescent="0.2">
      <c r="N572" s="1"/>
    </row>
    <row r="573" spans="14:14" ht="12.75" customHeight="1" x14ac:dyDescent="0.2">
      <c r="N573" s="1"/>
    </row>
    <row r="574" spans="14:14" ht="12.75" customHeight="1" x14ac:dyDescent="0.2">
      <c r="N574" s="1"/>
    </row>
    <row r="575" spans="14:14" ht="12.75" customHeight="1" x14ac:dyDescent="0.2">
      <c r="N575" s="1"/>
    </row>
    <row r="576" spans="14:14" ht="12.75" customHeight="1" x14ac:dyDescent="0.2">
      <c r="N576" s="1"/>
    </row>
    <row r="577" spans="14:14" ht="12.75" customHeight="1" x14ac:dyDescent="0.2">
      <c r="N577" s="1"/>
    </row>
    <row r="578" spans="14:14" ht="12.75" customHeight="1" x14ac:dyDescent="0.2">
      <c r="N578" s="1"/>
    </row>
    <row r="579" spans="14:14" ht="12.75" customHeight="1" x14ac:dyDescent="0.2">
      <c r="N579" s="1"/>
    </row>
    <row r="580" spans="14:14" ht="12.75" customHeight="1" x14ac:dyDescent="0.2">
      <c r="N580" s="1"/>
    </row>
    <row r="581" spans="14:14" ht="12.75" customHeight="1" x14ac:dyDescent="0.2">
      <c r="N581" s="1"/>
    </row>
    <row r="582" spans="14:14" ht="12.75" customHeight="1" x14ac:dyDescent="0.2">
      <c r="N582" s="1"/>
    </row>
    <row r="583" spans="14:14" ht="12.75" customHeight="1" x14ac:dyDescent="0.2">
      <c r="N583" s="1"/>
    </row>
    <row r="584" spans="14:14" ht="12.75" customHeight="1" x14ac:dyDescent="0.2">
      <c r="N584" s="1"/>
    </row>
    <row r="585" spans="14:14" ht="12.75" customHeight="1" x14ac:dyDescent="0.2">
      <c r="N585" s="1"/>
    </row>
    <row r="586" spans="14:14" ht="12.75" customHeight="1" x14ac:dyDescent="0.2">
      <c r="N586" s="1"/>
    </row>
    <row r="587" spans="14:14" ht="12.75" customHeight="1" x14ac:dyDescent="0.2">
      <c r="N587" s="1"/>
    </row>
    <row r="588" spans="14:14" ht="12.75" customHeight="1" x14ac:dyDescent="0.2">
      <c r="N588" s="1"/>
    </row>
    <row r="589" spans="14:14" ht="12.75" customHeight="1" x14ac:dyDescent="0.2">
      <c r="N589" s="1"/>
    </row>
    <row r="590" spans="14:14" ht="12.75" customHeight="1" x14ac:dyDescent="0.2">
      <c r="N590" s="1"/>
    </row>
    <row r="591" spans="14:14" ht="12.75" customHeight="1" x14ac:dyDescent="0.2">
      <c r="N591" s="1"/>
    </row>
    <row r="592" spans="14:14" ht="12.75" customHeight="1" x14ac:dyDescent="0.2">
      <c r="N592" s="1"/>
    </row>
    <row r="593" spans="14:14" ht="12.75" customHeight="1" x14ac:dyDescent="0.2">
      <c r="N593" s="1"/>
    </row>
    <row r="594" spans="14:14" ht="12.75" customHeight="1" x14ac:dyDescent="0.2">
      <c r="N594" s="1"/>
    </row>
    <row r="595" spans="14:14" ht="12.75" customHeight="1" x14ac:dyDescent="0.2">
      <c r="N595" s="1"/>
    </row>
    <row r="596" spans="14:14" ht="12.75" customHeight="1" x14ac:dyDescent="0.2">
      <c r="N596" s="1"/>
    </row>
    <row r="597" spans="14:14" ht="12.75" customHeight="1" x14ac:dyDescent="0.2">
      <c r="N597" s="1"/>
    </row>
    <row r="598" spans="14:14" ht="12.75" customHeight="1" x14ac:dyDescent="0.2">
      <c r="N598" s="1"/>
    </row>
    <row r="599" spans="14:14" ht="12.75" customHeight="1" x14ac:dyDescent="0.2">
      <c r="N599" s="1"/>
    </row>
    <row r="600" spans="14:14" ht="12.75" customHeight="1" x14ac:dyDescent="0.2">
      <c r="N600" s="1"/>
    </row>
    <row r="601" spans="14:14" ht="12.75" customHeight="1" x14ac:dyDescent="0.2">
      <c r="N601" s="1"/>
    </row>
    <row r="602" spans="14:14" ht="12.75" customHeight="1" x14ac:dyDescent="0.2">
      <c r="N602" s="1"/>
    </row>
    <row r="603" spans="14:14" ht="12.75" customHeight="1" x14ac:dyDescent="0.2">
      <c r="N603" s="1"/>
    </row>
    <row r="604" spans="14:14" ht="12.75" customHeight="1" x14ac:dyDescent="0.2">
      <c r="N604" s="1"/>
    </row>
    <row r="605" spans="14:14" ht="12.75" customHeight="1" x14ac:dyDescent="0.2">
      <c r="N605" s="1"/>
    </row>
    <row r="606" spans="14:14" ht="12.75" customHeight="1" x14ac:dyDescent="0.2">
      <c r="N606" s="1"/>
    </row>
    <row r="607" spans="14:14" ht="12.75" customHeight="1" x14ac:dyDescent="0.2">
      <c r="N607" s="1"/>
    </row>
    <row r="608" spans="14:14" ht="12.75" customHeight="1" x14ac:dyDescent="0.2">
      <c r="N608" s="1"/>
    </row>
    <row r="609" spans="14:14" ht="12.75" customHeight="1" x14ac:dyDescent="0.2">
      <c r="N609" s="1"/>
    </row>
    <row r="610" spans="14:14" ht="12.75" customHeight="1" x14ac:dyDescent="0.2">
      <c r="N610" s="1"/>
    </row>
    <row r="611" spans="14:14" ht="12.75" customHeight="1" x14ac:dyDescent="0.2">
      <c r="N611" s="1"/>
    </row>
    <row r="612" spans="14:14" ht="12.75" customHeight="1" x14ac:dyDescent="0.2">
      <c r="N612" s="1"/>
    </row>
    <row r="613" spans="14:14" ht="12.75" customHeight="1" x14ac:dyDescent="0.2">
      <c r="N613" s="1"/>
    </row>
    <row r="614" spans="14:14" ht="12.75" customHeight="1" x14ac:dyDescent="0.2">
      <c r="N614" s="1"/>
    </row>
    <row r="615" spans="14:14" ht="12.75" customHeight="1" x14ac:dyDescent="0.2">
      <c r="N615" s="1"/>
    </row>
    <row r="616" spans="14:14" ht="12.75" customHeight="1" x14ac:dyDescent="0.2">
      <c r="N616" s="1"/>
    </row>
    <row r="617" spans="14:14" ht="12.75" customHeight="1" x14ac:dyDescent="0.2">
      <c r="N617" s="1"/>
    </row>
    <row r="618" spans="14:14" ht="12.75" customHeight="1" x14ac:dyDescent="0.2">
      <c r="N618" s="1"/>
    </row>
    <row r="619" spans="14:14" ht="12.75" customHeight="1" x14ac:dyDescent="0.2">
      <c r="N619" s="1"/>
    </row>
    <row r="620" spans="14:14" ht="12.75" customHeight="1" x14ac:dyDescent="0.2">
      <c r="N620" s="1"/>
    </row>
    <row r="621" spans="14:14" ht="12.75" customHeight="1" x14ac:dyDescent="0.2">
      <c r="N621" s="1"/>
    </row>
    <row r="622" spans="14:14" ht="12.75" customHeight="1" x14ac:dyDescent="0.2">
      <c r="N622" s="1"/>
    </row>
    <row r="623" spans="14:14" ht="12.75" customHeight="1" x14ac:dyDescent="0.2">
      <c r="N623" s="1"/>
    </row>
    <row r="624" spans="14:14" ht="12.75" customHeight="1" x14ac:dyDescent="0.2">
      <c r="N624" s="1"/>
    </row>
    <row r="625" spans="14:14" ht="12.75" customHeight="1" x14ac:dyDescent="0.2">
      <c r="N625" s="1"/>
    </row>
    <row r="626" spans="14:14" ht="12.75" customHeight="1" x14ac:dyDescent="0.2">
      <c r="N626" s="1"/>
    </row>
    <row r="627" spans="14:14" ht="12.75" customHeight="1" x14ac:dyDescent="0.2">
      <c r="N627" s="1"/>
    </row>
    <row r="628" spans="14:14" ht="12.75" customHeight="1" x14ac:dyDescent="0.2">
      <c r="N628" s="1"/>
    </row>
    <row r="629" spans="14:14" ht="12.75" customHeight="1" x14ac:dyDescent="0.2">
      <c r="N629" s="1"/>
    </row>
    <row r="630" spans="14:14" ht="12.75" customHeight="1" x14ac:dyDescent="0.2">
      <c r="N630" s="1"/>
    </row>
    <row r="631" spans="14:14" ht="12.75" customHeight="1" x14ac:dyDescent="0.2">
      <c r="N631" s="1"/>
    </row>
    <row r="632" spans="14:14" ht="12.75" customHeight="1" x14ac:dyDescent="0.2">
      <c r="N632" s="1"/>
    </row>
    <row r="633" spans="14:14" ht="12.75" customHeight="1" x14ac:dyDescent="0.2">
      <c r="N633" s="1"/>
    </row>
    <row r="634" spans="14:14" ht="12.75" customHeight="1" x14ac:dyDescent="0.2">
      <c r="N634" s="1"/>
    </row>
    <row r="635" spans="14:14" ht="12.75" customHeight="1" x14ac:dyDescent="0.2">
      <c r="N635" s="1"/>
    </row>
    <row r="636" spans="14:14" ht="12.75" customHeight="1" x14ac:dyDescent="0.2">
      <c r="N636" s="1"/>
    </row>
    <row r="637" spans="14:14" ht="12.75" customHeight="1" x14ac:dyDescent="0.2">
      <c r="N637" s="1"/>
    </row>
    <row r="638" spans="14:14" ht="12.75" customHeight="1" x14ac:dyDescent="0.2">
      <c r="N638" s="1"/>
    </row>
    <row r="639" spans="14:14" ht="12.75" customHeight="1" x14ac:dyDescent="0.2">
      <c r="N639" s="1"/>
    </row>
    <row r="640" spans="14:14" ht="12.75" customHeight="1" x14ac:dyDescent="0.2">
      <c r="N640" s="1"/>
    </row>
    <row r="641" spans="14:14" ht="12.75" customHeight="1" x14ac:dyDescent="0.2">
      <c r="N641" s="1"/>
    </row>
    <row r="642" spans="14:14" ht="12.75" customHeight="1" x14ac:dyDescent="0.2">
      <c r="N642" s="1"/>
    </row>
    <row r="643" spans="14:14" ht="12.75" customHeight="1" x14ac:dyDescent="0.2">
      <c r="N643" s="1"/>
    </row>
    <row r="644" spans="14:14" ht="12.75" customHeight="1" x14ac:dyDescent="0.2">
      <c r="N644" s="1"/>
    </row>
    <row r="645" spans="14:14" ht="12.75" customHeight="1" x14ac:dyDescent="0.2">
      <c r="N645" s="1"/>
    </row>
    <row r="646" spans="14:14" ht="12.75" customHeight="1" x14ac:dyDescent="0.2">
      <c r="N646" s="1"/>
    </row>
    <row r="647" spans="14:14" ht="12.75" customHeight="1" x14ac:dyDescent="0.2">
      <c r="N647" s="1"/>
    </row>
    <row r="648" spans="14:14" ht="12.75" customHeight="1" x14ac:dyDescent="0.2">
      <c r="N648" s="1"/>
    </row>
    <row r="649" spans="14:14" ht="12.75" customHeight="1" x14ac:dyDescent="0.2">
      <c r="N649" s="1"/>
    </row>
    <row r="650" spans="14:14" ht="12.75" customHeight="1" x14ac:dyDescent="0.2">
      <c r="N650" s="1"/>
    </row>
    <row r="651" spans="14:14" ht="12.75" customHeight="1" x14ac:dyDescent="0.2">
      <c r="N651" s="1"/>
    </row>
    <row r="652" spans="14:14" ht="12.75" customHeight="1" x14ac:dyDescent="0.2">
      <c r="N652" s="1"/>
    </row>
    <row r="653" spans="14:14" ht="12.75" customHeight="1" x14ac:dyDescent="0.2">
      <c r="N653" s="1"/>
    </row>
    <row r="654" spans="14:14" ht="12.75" customHeight="1" x14ac:dyDescent="0.2">
      <c r="N654" s="1"/>
    </row>
    <row r="655" spans="14:14" ht="12.75" customHeight="1" x14ac:dyDescent="0.2">
      <c r="N655" s="1"/>
    </row>
    <row r="656" spans="14:14" ht="12.75" customHeight="1" x14ac:dyDescent="0.2">
      <c r="N656" s="1"/>
    </row>
    <row r="657" spans="14:14" ht="12.75" customHeight="1" x14ac:dyDescent="0.2">
      <c r="N657" s="1"/>
    </row>
    <row r="658" spans="14:14" ht="12.75" customHeight="1" x14ac:dyDescent="0.2">
      <c r="N658" s="1"/>
    </row>
    <row r="659" spans="14:14" ht="12.75" customHeight="1" x14ac:dyDescent="0.2">
      <c r="N659" s="1"/>
    </row>
    <row r="660" spans="14:14" ht="12.75" customHeight="1" x14ac:dyDescent="0.2">
      <c r="N660" s="1"/>
    </row>
    <row r="661" spans="14:14" ht="12.75" customHeight="1" x14ac:dyDescent="0.2">
      <c r="N661" s="1"/>
    </row>
    <row r="662" spans="14:14" ht="12.75" customHeight="1" x14ac:dyDescent="0.2">
      <c r="N662" s="1"/>
    </row>
    <row r="663" spans="14:14" ht="12.75" customHeight="1" x14ac:dyDescent="0.2">
      <c r="N663" s="1"/>
    </row>
    <row r="664" spans="14:14" ht="12.75" customHeight="1" x14ac:dyDescent="0.2">
      <c r="N664" s="1"/>
    </row>
    <row r="665" spans="14:14" ht="12.75" customHeight="1" x14ac:dyDescent="0.2">
      <c r="N665" s="1"/>
    </row>
    <row r="666" spans="14:14" ht="12.75" customHeight="1" x14ac:dyDescent="0.2">
      <c r="N666" s="1"/>
    </row>
    <row r="667" spans="14:14" ht="12.75" customHeight="1" x14ac:dyDescent="0.2">
      <c r="N667" s="1"/>
    </row>
    <row r="668" spans="14:14" ht="12.75" customHeight="1" x14ac:dyDescent="0.2">
      <c r="N668" s="1"/>
    </row>
    <row r="669" spans="14:14" ht="12.75" customHeight="1" x14ac:dyDescent="0.2">
      <c r="N669" s="1"/>
    </row>
    <row r="670" spans="14:14" ht="12.75" customHeight="1" x14ac:dyDescent="0.2">
      <c r="N670" s="1"/>
    </row>
    <row r="671" spans="14:14" ht="12.75" customHeight="1" x14ac:dyDescent="0.2">
      <c r="N671" s="1"/>
    </row>
    <row r="672" spans="14:14" ht="12.75" customHeight="1" x14ac:dyDescent="0.2">
      <c r="N672" s="1"/>
    </row>
    <row r="673" spans="14:14" ht="12.75" customHeight="1" x14ac:dyDescent="0.2">
      <c r="N673" s="1"/>
    </row>
    <row r="674" spans="14:14" ht="12.75" customHeight="1" x14ac:dyDescent="0.2">
      <c r="N674" s="1"/>
    </row>
    <row r="675" spans="14:14" ht="12.75" customHeight="1" x14ac:dyDescent="0.2">
      <c r="N675" s="1"/>
    </row>
    <row r="676" spans="14:14" ht="12.75" customHeight="1" x14ac:dyDescent="0.2">
      <c r="N676" s="1"/>
    </row>
    <row r="677" spans="14:14" ht="12.75" customHeight="1" x14ac:dyDescent="0.2">
      <c r="N677" s="1"/>
    </row>
    <row r="678" spans="14:14" ht="12.75" customHeight="1" x14ac:dyDescent="0.2">
      <c r="N678" s="1"/>
    </row>
    <row r="679" spans="14:14" ht="12.75" customHeight="1" x14ac:dyDescent="0.2">
      <c r="N679" s="1"/>
    </row>
    <row r="680" spans="14:14" ht="12.75" customHeight="1" x14ac:dyDescent="0.2">
      <c r="N680" s="1"/>
    </row>
    <row r="681" spans="14:14" ht="12.75" customHeight="1" x14ac:dyDescent="0.2">
      <c r="N681" s="1"/>
    </row>
    <row r="682" spans="14:14" ht="12.75" customHeight="1" x14ac:dyDescent="0.2">
      <c r="N682" s="1"/>
    </row>
    <row r="683" spans="14:14" ht="12.75" customHeight="1" x14ac:dyDescent="0.2">
      <c r="N683" s="1"/>
    </row>
    <row r="684" spans="14:14" ht="12.75" customHeight="1" x14ac:dyDescent="0.2">
      <c r="N684" s="1"/>
    </row>
    <row r="685" spans="14:14" ht="12.75" customHeight="1" x14ac:dyDescent="0.2">
      <c r="N685" s="1"/>
    </row>
    <row r="686" spans="14:14" ht="12.75" customHeight="1" x14ac:dyDescent="0.2">
      <c r="N686" s="1"/>
    </row>
    <row r="687" spans="14:14" ht="12.75" customHeight="1" x14ac:dyDescent="0.2">
      <c r="N687" s="1"/>
    </row>
    <row r="688" spans="14:14" ht="12.75" customHeight="1" x14ac:dyDescent="0.2">
      <c r="N688" s="1"/>
    </row>
    <row r="689" spans="14:14" ht="12.75" customHeight="1" x14ac:dyDescent="0.2">
      <c r="N689" s="1"/>
    </row>
    <row r="690" spans="14:14" ht="12.75" customHeight="1" x14ac:dyDescent="0.2">
      <c r="N690" s="1"/>
    </row>
    <row r="691" spans="14:14" ht="12.75" customHeight="1" x14ac:dyDescent="0.2">
      <c r="N691" s="1"/>
    </row>
    <row r="692" spans="14:14" ht="12.75" customHeight="1" x14ac:dyDescent="0.2">
      <c r="N692" s="1"/>
    </row>
    <row r="693" spans="14:14" ht="12.75" customHeight="1" x14ac:dyDescent="0.2">
      <c r="N693" s="1"/>
    </row>
    <row r="694" spans="14:14" ht="12.75" customHeight="1" x14ac:dyDescent="0.2">
      <c r="N694" s="1"/>
    </row>
    <row r="695" spans="14:14" ht="12.75" customHeight="1" x14ac:dyDescent="0.2">
      <c r="N695" s="1"/>
    </row>
    <row r="696" spans="14:14" ht="12.75" customHeight="1" x14ac:dyDescent="0.2">
      <c r="N696" s="1"/>
    </row>
    <row r="697" spans="14:14" ht="12.75" customHeight="1" x14ac:dyDescent="0.2">
      <c r="N697" s="1"/>
    </row>
    <row r="698" spans="14:14" ht="12.75" customHeight="1" x14ac:dyDescent="0.2">
      <c r="N698" s="1"/>
    </row>
    <row r="699" spans="14:14" ht="12.75" customHeight="1" x14ac:dyDescent="0.2">
      <c r="N699" s="1"/>
    </row>
    <row r="700" spans="14:14" ht="12.75" customHeight="1" x14ac:dyDescent="0.2">
      <c r="N700" s="1"/>
    </row>
    <row r="701" spans="14:14" ht="12.75" customHeight="1" x14ac:dyDescent="0.2">
      <c r="N701" s="1"/>
    </row>
    <row r="702" spans="14:14" ht="12.75" customHeight="1" x14ac:dyDescent="0.2">
      <c r="N702" s="1"/>
    </row>
    <row r="703" spans="14:14" ht="12.75" customHeight="1" x14ac:dyDescent="0.2">
      <c r="N703" s="1"/>
    </row>
    <row r="704" spans="14:14" ht="12.75" customHeight="1" x14ac:dyDescent="0.2">
      <c r="N704" s="1"/>
    </row>
    <row r="705" spans="14:14" ht="12.75" customHeight="1" x14ac:dyDescent="0.2">
      <c r="N705" s="1"/>
    </row>
    <row r="706" spans="14:14" ht="12.75" customHeight="1" x14ac:dyDescent="0.2">
      <c r="N706" s="1"/>
    </row>
    <row r="707" spans="14:14" ht="12.75" customHeight="1" x14ac:dyDescent="0.2">
      <c r="N707" s="1"/>
    </row>
    <row r="708" spans="14:14" ht="12.75" customHeight="1" x14ac:dyDescent="0.2">
      <c r="N708" s="1"/>
    </row>
    <row r="709" spans="14:14" ht="12.75" customHeight="1" x14ac:dyDescent="0.2">
      <c r="N709" s="1"/>
    </row>
    <row r="710" spans="14:14" ht="12.75" customHeight="1" x14ac:dyDescent="0.2">
      <c r="N710" s="1"/>
    </row>
    <row r="711" spans="14:14" ht="12.75" customHeight="1" x14ac:dyDescent="0.2">
      <c r="N711" s="1"/>
    </row>
    <row r="712" spans="14:14" ht="12.75" customHeight="1" x14ac:dyDescent="0.2">
      <c r="N712" s="1"/>
    </row>
    <row r="713" spans="14:14" ht="12.75" customHeight="1" x14ac:dyDescent="0.2">
      <c r="N713" s="1"/>
    </row>
    <row r="714" spans="14:14" ht="12.75" customHeight="1" x14ac:dyDescent="0.2">
      <c r="N714" s="1"/>
    </row>
    <row r="715" spans="14:14" ht="12.75" customHeight="1" x14ac:dyDescent="0.2">
      <c r="N715" s="1"/>
    </row>
    <row r="716" spans="14:14" ht="12.75" customHeight="1" x14ac:dyDescent="0.2">
      <c r="N716" s="1"/>
    </row>
    <row r="717" spans="14:14" ht="12.75" customHeight="1" x14ac:dyDescent="0.2">
      <c r="N717" s="1"/>
    </row>
    <row r="718" spans="14:14" ht="12.75" customHeight="1" x14ac:dyDescent="0.2">
      <c r="N718" s="1"/>
    </row>
    <row r="719" spans="14:14" ht="12.75" customHeight="1" x14ac:dyDescent="0.2">
      <c r="N719" s="1"/>
    </row>
    <row r="720" spans="14:14" ht="12.75" customHeight="1" x14ac:dyDescent="0.2">
      <c r="N720" s="1"/>
    </row>
    <row r="721" spans="14:14" ht="12.75" customHeight="1" x14ac:dyDescent="0.2">
      <c r="N721" s="1"/>
    </row>
    <row r="722" spans="14:14" ht="12.75" customHeight="1" x14ac:dyDescent="0.2">
      <c r="N722" s="1"/>
    </row>
    <row r="723" spans="14:14" ht="12.75" customHeight="1" x14ac:dyDescent="0.2">
      <c r="N723" s="1"/>
    </row>
    <row r="724" spans="14:14" ht="12.75" customHeight="1" x14ac:dyDescent="0.2">
      <c r="N724" s="1"/>
    </row>
    <row r="725" spans="14:14" ht="12.75" customHeight="1" x14ac:dyDescent="0.2">
      <c r="N725" s="1"/>
    </row>
    <row r="726" spans="14:14" ht="12.75" customHeight="1" x14ac:dyDescent="0.2">
      <c r="N726" s="1"/>
    </row>
    <row r="727" spans="14:14" ht="12.75" customHeight="1" x14ac:dyDescent="0.2">
      <c r="N727" s="1"/>
    </row>
    <row r="728" spans="14:14" ht="12.75" customHeight="1" x14ac:dyDescent="0.2">
      <c r="N728" s="1"/>
    </row>
    <row r="729" spans="14:14" ht="12.75" customHeight="1" x14ac:dyDescent="0.2">
      <c r="N729" s="1"/>
    </row>
    <row r="730" spans="14:14" ht="12.75" customHeight="1" x14ac:dyDescent="0.2">
      <c r="N730" s="1"/>
    </row>
    <row r="731" spans="14:14" ht="12.75" customHeight="1" x14ac:dyDescent="0.2">
      <c r="N731" s="1"/>
    </row>
    <row r="732" spans="14:14" ht="12.75" customHeight="1" x14ac:dyDescent="0.2">
      <c r="N732" s="1"/>
    </row>
    <row r="733" spans="14:14" ht="12.75" customHeight="1" x14ac:dyDescent="0.2">
      <c r="N733" s="1"/>
    </row>
    <row r="734" spans="14:14" ht="12.75" customHeight="1" x14ac:dyDescent="0.2">
      <c r="N734" s="1"/>
    </row>
    <row r="735" spans="14:14" ht="12.75" customHeight="1" x14ac:dyDescent="0.2">
      <c r="N735" s="1"/>
    </row>
    <row r="736" spans="14:14" ht="12.75" customHeight="1" x14ac:dyDescent="0.2">
      <c r="N736" s="1"/>
    </row>
    <row r="737" spans="14:14" ht="12.75" customHeight="1" x14ac:dyDescent="0.2">
      <c r="N737" s="1"/>
    </row>
    <row r="738" spans="14:14" ht="12.75" customHeight="1" x14ac:dyDescent="0.2">
      <c r="N738" s="1"/>
    </row>
    <row r="739" spans="14:14" ht="12.75" customHeight="1" x14ac:dyDescent="0.2">
      <c r="N739" s="1"/>
    </row>
    <row r="740" spans="14:14" ht="12.75" customHeight="1" x14ac:dyDescent="0.2">
      <c r="N740" s="1"/>
    </row>
    <row r="741" spans="14:14" ht="12.75" customHeight="1" x14ac:dyDescent="0.2">
      <c r="N741" s="1"/>
    </row>
    <row r="742" spans="14:14" ht="12.75" customHeight="1" x14ac:dyDescent="0.2">
      <c r="N742" s="1"/>
    </row>
    <row r="743" spans="14:14" ht="12.75" customHeight="1" x14ac:dyDescent="0.2">
      <c r="N743" s="1"/>
    </row>
    <row r="744" spans="14:14" ht="12.75" customHeight="1" x14ac:dyDescent="0.2">
      <c r="N744" s="1"/>
    </row>
    <row r="745" spans="14:14" ht="12.75" customHeight="1" x14ac:dyDescent="0.2">
      <c r="N745" s="1"/>
    </row>
    <row r="746" spans="14:14" ht="12.75" customHeight="1" x14ac:dyDescent="0.2">
      <c r="N746" s="1"/>
    </row>
    <row r="747" spans="14:14" ht="12.75" customHeight="1" x14ac:dyDescent="0.2">
      <c r="N747" s="1"/>
    </row>
    <row r="748" spans="14:14" ht="12.75" customHeight="1" x14ac:dyDescent="0.2">
      <c r="N748" s="1"/>
    </row>
    <row r="749" spans="14:14" ht="12.75" customHeight="1" x14ac:dyDescent="0.2">
      <c r="N749" s="1"/>
    </row>
    <row r="750" spans="14:14" ht="12.75" customHeight="1" x14ac:dyDescent="0.2">
      <c r="N750" s="1"/>
    </row>
    <row r="751" spans="14:14" ht="12.75" customHeight="1" x14ac:dyDescent="0.2">
      <c r="N751" s="1"/>
    </row>
    <row r="752" spans="14:14" ht="12.75" customHeight="1" x14ac:dyDescent="0.2">
      <c r="N752" s="1"/>
    </row>
    <row r="753" spans="14:14" ht="12.75" customHeight="1" x14ac:dyDescent="0.2">
      <c r="N753" s="1"/>
    </row>
    <row r="754" spans="14:14" ht="12.75" customHeight="1" x14ac:dyDescent="0.2">
      <c r="N754" s="1"/>
    </row>
    <row r="755" spans="14:14" ht="12.75" customHeight="1" x14ac:dyDescent="0.2">
      <c r="N755" s="1"/>
    </row>
    <row r="756" spans="14:14" ht="12.75" customHeight="1" x14ac:dyDescent="0.2">
      <c r="N756" s="1"/>
    </row>
    <row r="757" spans="14:14" ht="12.75" customHeight="1" x14ac:dyDescent="0.2">
      <c r="N757" s="1"/>
    </row>
    <row r="758" spans="14:14" ht="12.75" customHeight="1" x14ac:dyDescent="0.2">
      <c r="N758" s="1"/>
    </row>
    <row r="759" spans="14:14" ht="12.75" customHeight="1" x14ac:dyDescent="0.2">
      <c r="N759" s="1"/>
    </row>
    <row r="760" spans="14:14" ht="12.75" customHeight="1" x14ac:dyDescent="0.2">
      <c r="N760" s="1"/>
    </row>
    <row r="761" spans="14:14" ht="12.75" customHeight="1" x14ac:dyDescent="0.2">
      <c r="N761" s="1"/>
    </row>
    <row r="762" spans="14:14" ht="12.75" customHeight="1" x14ac:dyDescent="0.2">
      <c r="N762" s="1"/>
    </row>
    <row r="763" spans="14:14" ht="12.75" customHeight="1" x14ac:dyDescent="0.2">
      <c r="N763" s="1"/>
    </row>
    <row r="764" spans="14:14" ht="12.75" customHeight="1" x14ac:dyDescent="0.2">
      <c r="N764" s="1"/>
    </row>
    <row r="765" spans="14:14" ht="12.75" customHeight="1" x14ac:dyDescent="0.2">
      <c r="N765" s="1"/>
    </row>
    <row r="766" spans="14:14" ht="12.75" customHeight="1" x14ac:dyDescent="0.2">
      <c r="N766" s="1"/>
    </row>
    <row r="767" spans="14:14" ht="12.75" customHeight="1" x14ac:dyDescent="0.2">
      <c r="N767" s="1"/>
    </row>
    <row r="768" spans="14:14" ht="12.75" customHeight="1" x14ac:dyDescent="0.2">
      <c r="N768" s="1"/>
    </row>
    <row r="769" spans="14:14" ht="12.75" customHeight="1" x14ac:dyDescent="0.2">
      <c r="N769" s="1"/>
    </row>
    <row r="770" spans="14:14" ht="12.75" customHeight="1" x14ac:dyDescent="0.2">
      <c r="N770" s="1"/>
    </row>
    <row r="771" spans="14:14" ht="12.75" customHeight="1" x14ac:dyDescent="0.2">
      <c r="N771" s="1"/>
    </row>
    <row r="772" spans="14:14" ht="12.75" customHeight="1" x14ac:dyDescent="0.2">
      <c r="N772" s="1"/>
    </row>
    <row r="773" spans="14:14" ht="12.75" customHeight="1" x14ac:dyDescent="0.2">
      <c r="N773" s="1"/>
    </row>
    <row r="774" spans="14:14" ht="12.75" customHeight="1" x14ac:dyDescent="0.2">
      <c r="N774" s="1"/>
    </row>
    <row r="775" spans="14:14" ht="12.75" customHeight="1" x14ac:dyDescent="0.2">
      <c r="N775" s="1"/>
    </row>
    <row r="776" spans="14:14" ht="12.75" customHeight="1" x14ac:dyDescent="0.2">
      <c r="N776" s="1"/>
    </row>
    <row r="777" spans="14:14" ht="12.75" customHeight="1" x14ac:dyDescent="0.2">
      <c r="N777" s="1"/>
    </row>
    <row r="778" spans="14:14" ht="12.75" customHeight="1" x14ac:dyDescent="0.2">
      <c r="N778" s="1"/>
    </row>
    <row r="779" spans="14:14" ht="12.75" customHeight="1" x14ac:dyDescent="0.2">
      <c r="N779" s="1"/>
    </row>
    <row r="780" spans="14:14" ht="12.75" customHeight="1" x14ac:dyDescent="0.2">
      <c r="N780" s="1"/>
    </row>
    <row r="781" spans="14:14" ht="12.75" customHeight="1" x14ac:dyDescent="0.2">
      <c r="N781" s="1"/>
    </row>
    <row r="782" spans="14:14" ht="12.75" customHeight="1" x14ac:dyDescent="0.2">
      <c r="N782" s="1"/>
    </row>
    <row r="783" spans="14:14" ht="12.75" customHeight="1" x14ac:dyDescent="0.2">
      <c r="N783" s="1"/>
    </row>
    <row r="784" spans="14:14" ht="12.75" customHeight="1" x14ac:dyDescent="0.2">
      <c r="N784" s="1"/>
    </row>
    <row r="785" spans="14:14" ht="12.75" customHeight="1" x14ac:dyDescent="0.2">
      <c r="N785" s="1"/>
    </row>
    <row r="786" spans="14:14" ht="12.75" customHeight="1" x14ac:dyDescent="0.2">
      <c r="N786" s="1"/>
    </row>
    <row r="787" spans="14:14" ht="12.75" customHeight="1" x14ac:dyDescent="0.2">
      <c r="N787" s="1"/>
    </row>
    <row r="788" spans="14:14" ht="12.75" customHeight="1" x14ac:dyDescent="0.2">
      <c r="N788" s="1"/>
    </row>
    <row r="789" spans="14:14" ht="12.75" customHeight="1" x14ac:dyDescent="0.2">
      <c r="N789" s="1"/>
    </row>
    <row r="790" spans="14:14" ht="12.75" customHeight="1" x14ac:dyDescent="0.2">
      <c r="N790" s="1"/>
    </row>
    <row r="791" spans="14:14" ht="12.75" customHeight="1" x14ac:dyDescent="0.2">
      <c r="N791" s="1"/>
    </row>
    <row r="792" spans="14:14" ht="12.75" customHeight="1" x14ac:dyDescent="0.2">
      <c r="N792" s="1"/>
    </row>
    <row r="793" spans="14:14" ht="12.75" customHeight="1" x14ac:dyDescent="0.2">
      <c r="N793" s="1"/>
    </row>
    <row r="794" spans="14:14" ht="12.75" customHeight="1" x14ac:dyDescent="0.2">
      <c r="N794" s="1"/>
    </row>
    <row r="795" spans="14:14" ht="12.75" customHeight="1" x14ac:dyDescent="0.2">
      <c r="N795" s="1"/>
    </row>
    <row r="796" spans="14:14" ht="12.75" customHeight="1" x14ac:dyDescent="0.2">
      <c r="N796" s="1"/>
    </row>
    <row r="797" spans="14:14" ht="12.75" customHeight="1" x14ac:dyDescent="0.2">
      <c r="N797" s="1"/>
    </row>
    <row r="798" spans="14:14" ht="12.75" customHeight="1" x14ac:dyDescent="0.2">
      <c r="N798" s="1"/>
    </row>
    <row r="799" spans="14:14" ht="12.75" customHeight="1" x14ac:dyDescent="0.2">
      <c r="N799" s="1"/>
    </row>
    <row r="800" spans="14:14" ht="12.75" customHeight="1" x14ac:dyDescent="0.2">
      <c r="N800" s="1"/>
    </row>
    <row r="801" spans="14:14" ht="12.75" customHeight="1" x14ac:dyDescent="0.2">
      <c r="N801" s="1"/>
    </row>
    <row r="802" spans="14:14" ht="12.75" customHeight="1" x14ac:dyDescent="0.2">
      <c r="N802" s="1"/>
    </row>
    <row r="803" spans="14:14" ht="12.75" customHeight="1" x14ac:dyDescent="0.2">
      <c r="N803" s="1"/>
    </row>
    <row r="804" spans="14:14" ht="12.75" customHeight="1" x14ac:dyDescent="0.2">
      <c r="N804" s="1"/>
    </row>
    <row r="805" spans="14:14" ht="12.75" customHeight="1" x14ac:dyDescent="0.2">
      <c r="N805" s="1"/>
    </row>
    <row r="806" spans="14:14" ht="12.75" customHeight="1" x14ac:dyDescent="0.2">
      <c r="N806" s="1"/>
    </row>
    <row r="807" spans="14:14" ht="12.75" customHeight="1" x14ac:dyDescent="0.2">
      <c r="N807" s="1"/>
    </row>
    <row r="808" spans="14:14" ht="12.75" customHeight="1" x14ac:dyDescent="0.2">
      <c r="N808" s="1"/>
    </row>
    <row r="809" spans="14:14" ht="12.75" customHeight="1" x14ac:dyDescent="0.2">
      <c r="N809" s="1"/>
    </row>
    <row r="810" spans="14:14" ht="12.75" customHeight="1" x14ac:dyDescent="0.2">
      <c r="N810" s="1"/>
    </row>
    <row r="811" spans="14:14" ht="12.75" customHeight="1" x14ac:dyDescent="0.2">
      <c r="N811" s="1"/>
    </row>
    <row r="812" spans="14:14" ht="12.75" customHeight="1" x14ac:dyDescent="0.2">
      <c r="N812" s="1"/>
    </row>
    <row r="813" spans="14:14" ht="12.75" customHeight="1" x14ac:dyDescent="0.2">
      <c r="N813" s="1"/>
    </row>
    <row r="814" spans="14:14" ht="12.75" customHeight="1" x14ac:dyDescent="0.2">
      <c r="N814" s="1"/>
    </row>
    <row r="815" spans="14:14" ht="12.75" customHeight="1" x14ac:dyDescent="0.2">
      <c r="N815" s="1"/>
    </row>
    <row r="816" spans="14:14" ht="12.75" customHeight="1" x14ac:dyDescent="0.2">
      <c r="N816" s="1"/>
    </row>
    <row r="817" spans="14:14" ht="12.75" customHeight="1" x14ac:dyDescent="0.2">
      <c r="N817" s="1"/>
    </row>
    <row r="818" spans="14:14" ht="12.75" customHeight="1" x14ac:dyDescent="0.2">
      <c r="N818" s="1"/>
    </row>
    <row r="819" spans="14:14" ht="12.75" customHeight="1" x14ac:dyDescent="0.2">
      <c r="N819" s="1"/>
    </row>
    <row r="820" spans="14:14" ht="12.75" customHeight="1" x14ac:dyDescent="0.2">
      <c r="N820" s="1"/>
    </row>
    <row r="821" spans="14:14" ht="12.75" customHeight="1" x14ac:dyDescent="0.2">
      <c r="N821" s="1"/>
    </row>
    <row r="822" spans="14:14" ht="12.75" customHeight="1" x14ac:dyDescent="0.2">
      <c r="N822" s="1"/>
    </row>
    <row r="823" spans="14:14" ht="12.75" customHeight="1" x14ac:dyDescent="0.2">
      <c r="N823" s="1"/>
    </row>
    <row r="824" spans="14:14" ht="12.75" customHeight="1" x14ac:dyDescent="0.2">
      <c r="N824" s="1"/>
    </row>
    <row r="825" spans="14:14" ht="12.75" customHeight="1" x14ac:dyDescent="0.2">
      <c r="N825" s="1"/>
    </row>
    <row r="826" spans="14:14" ht="12.75" customHeight="1" x14ac:dyDescent="0.2">
      <c r="N826" s="1"/>
    </row>
    <row r="827" spans="14:14" ht="12.75" customHeight="1" x14ac:dyDescent="0.2">
      <c r="N827" s="1"/>
    </row>
    <row r="828" spans="14:14" ht="12.75" customHeight="1" x14ac:dyDescent="0.2">
      <c r="N828" s="1"/>
    </row>
    <row r="829" spans="14:14" ht="12.75" customHeight="1" x14ac:dyDescent="0.2">
      <c r="N829" s="1"/>
    </row>
    <row r="830" spans="14:14" ht="12.75" customHeight="1" x14ac:dyDescent="0.2">
      <c r="N830" s="1"/>
    </row>
    <row r="831" spans="14:14" ht="12.75" customHeight="1" x14ac:dyDescent="0.2">
      <c r="N831" s="1"/>
    </row>
    <row r="832" spans="14:14" ht="12.75" customHeight="1" x14ac:dyDescent="0.2">
      <c r="N832" s="1"/>
    </row>
    <row r="833" spans="14:14" ht="12.75" customHeight="1" x14ac:dyDescent="0.2">
      <c r="N833" s="1"/>
    </row>
    <row r="834" spans="14:14" ht="12.75" customHeight="1" x14ac:dyDescent="0.2">
      <c r="N834" s="1"/>
    </row>
    <row r="835" spans="14:14" ht="12.75" customHeight="1" x14ac:dyDescent="0.2">
      <c r="N835" s="1"/>
    </row>
    <row r="836" spans="14:14" ht="12.75" customHeight="1" x14ac:dyDescent="0.2">
      <c r="N836" s="1"/>
    </row>
    <row r="837" spans="14:14" ht="12.75" customHeight="1" x14ac:dyDescent="0.2">
      <c r="N837" s="1"/>
    </row>
    <row r="838" spans="14:14" ht="12.75" customHeight="1" x14ac:dyDescent="0.2">
      <c r="N838" s="1"/>
    </row>
    <row r="839" spans="14:14" ht="12.75" customHeight="1" x14ac:dyDescent="0.2">
      <c r="N839" s="1"/>
    </row>
    <row r="840" spans="14:14" ht="12.75" customHeight="1" x14ac:dyDescent="0.2">
      <c r="N840" s="1"/>
    </row>
    <row r="841" spans="14:14" ht="12.75" customHeight="1" x14ac:dyDescent="0.2">
      <c r="N841" s="1"/>
    </row>
    <row r="842" spans="14:14" ht="12.75" customHeight="1" x14ac:dyDescent="0.2">
      <c r="N842" s="1"/>
    </row>
    <row r="843" spans="14:14" ht="12.75" customHeight="1" x14ac:dyDescent="0.2">
      <c r="N843" s="1"/>
    </row>
    <row r="844" spans="14:14" ht="12.75" customHeight="1" x14ac:dyDescent="0.2">
      <c r="N844" s="1"/>
    </row>
    <row r="845" spans="14:14" ht="12.75" customHeight="1" x14ac:dyDescent="0.2">
      <c r="N845" s="1"/>
    </row>
    <row r="846" spans="14:14" ht="12.75" customHeight="1" x14ac:dyDescent="0.2">
      <c r="N846" s="1"/>
    </row>
    <row r="847" spans="14:14" ht="12.75" customHeight="1" x14ac:dyDescent="0.2">
      <c r="N847" s="1"/>
    </row>
    <row r="848" spans="14:14" ht="12.75" customHeight="1" x14ac:dyDescent="0.2">
      <c r="N848" s="1"/>
    </row>
    <row r="849" spans="14:14" ht="12.75" customHeight="1" x14ac:dyDescent="0.2">
      <c r="N849" s="1"/>
    </row>
    <row r="850" spans="14:14" ht="12.75" customHeight="1" x14ac:dyDescent="0.2">
      <c r="N850" s="1"/>
    </row>
    <row r="851" spans="14:14" ht="12.75" customHeight="1" x14ac:dyDescent="0.2">
      <c r="N851" s="1"/>
    </row>
    <row r="852" spans="14:14" ht="12.75" customHeight="1" x14ac:dyDescent="0.2">
      <c r="N852" s="1"/>
    </row>
    <row r="853" spans="14:14" ht="12.75" customHeight="1" x14ac:dyDescent="0.2">
      <c r="N853" s="1"/>
    </row>
    <row r="854" spans="14:14" ht="12.75" customHeight="1" x14ac:dyDescent="0.2">
      <c r="N854" s="1"/>
    </row>
    <row r="855" spans="14:14" ht="12.75" customHeight="1" x14ac:dyDescent="0.2">
      <c r="N855" s="1"/>
    </row>
    <row r="856" spans="14:14" ht="12.75" customHeight="1" x14ac:dyDescent="0.2">
      <c r="N856" s="1"/>
    </row>
    <row r="857" spans="14:14" ht="12.75" customHeight="1" x14ac:dyDescent="0.2">
      <c r="N857" s="1"/>
    </row>
    <row r="858" spans="14:14" ht="12.75" customHeight="1" x14ac:dyDescent="0.2">
      <c r="N858" s="1"/>
    </row>
    <row r="859" spans="14:14" ht="12.75" customHeight="1" x14ac:dyDescent="0.2">
      <c r="N859" s="1"/>
    </row>
    <row r="860" spans="14:14" ht="12.75" customHeight="1" x14ac:dyDescent="0.2">
      <c r="N860" s="1"/>
    </row>
    <row r="861" spans="14:14" ht="12.75" customHeight="1" x14ac:dyDescent="0.2">
      <c r="N861" s="1"/>
    </row>
    <row r="862" spans="14:14" ht="12.75" customHeight="1" x14ac:dyDescent="0.2">
      <c r="N862" s="1"/>
    </row>
    <row r="863" spans="14:14" ht="12.75" customHeight="1" x14ac:dyDescent="0.2">
      <c r="N863" s="1"/>
    </row>
    <row r="864" spans="14:14" ht="12.75" customHeight="1" x14ac:dyDescent="0.2">
      <c r="N864" s="1"/>
    </row>
    <row r="865" spans="14:14" ht="12.75" customHeight="1" x14ac:dyDescent="0.2">
      <c r="N865" s="1"/>
    </row>
    <row r="866" spans="14:14" ht="12.75" customHeight="1" x14ac:dyDescent="0.2">
      <c r="N866" s="1"/>
    </row>
    <row r="867" spans="14:14" ht="12.75" customHeight="1" x14ac:dyDescent="0.2">
      <c r="N867" s="1"/>
    </row>
    <row r="868" spans="14:14" ht="12.75" customHeight="1" x14ac:dyDescent="0.2">
      <c r="N868" s="1"/>
    </row>
    <row r="869" spans="14:14" ht="12.75" customHeight="1" x14ac:dyDescent="0.2">
      <c r="N869" s="1"/>
    </row>
    <row r="870" spans="14:14" ht="12.75" customHeight="1" x14ac:dyDescent="0.2">
      <c r="N870" s="1"/>
    </row>
    <row r="871" spans="14:14" ht="12.75" customHeight="1" x14ac:dyDescent="0.2">
      <c r="N871" s="1"/>
    </row>
    <row r="872" spans="14:14" ht="12.75" customHeight="1" x14ac:dyDescent="0.2">
      <c r="N872" s="1"/>
    </row>
    <row r="873" spans="14:14" ht="12.75" customHeight="1" x14ac:dyDescent="0.2">
      <c r="N873" s="1"/>
    </row>
    <row r="874" spans="14:14" ht="12.75" customHeight="1" x14ac:dyDescent="0.2">
      <c r="N874" s="1"/>
    </row>
    <row r="875" spans="14:14" ht="12.75" customHeight="1" x14ac:dyDescent="0.2">
      <c r="N875" s="1"/>
    </row>
    <row r="876" spans="14:14" ht="12.75" customHeight="1" x14ac:dyDescent="0.2">
      <c r="N876" s="1"/>
    </row>
    <row r="877" spans="14:14" ht="12.75" customHeight="1" x14ac:dyDescent="0.2">
      <c r="N877" s="1"/>
    </row>
    <row r="878" spans="14:14" ht="12.75" customHeight="1" x14ac:dyDescent="0.2">
      <c r="N878" s="1"/>
    </row>
    <row r="879" spans="14:14" ht="12.75" customHeight="1" x14ac:dyDescent="0.2">
      <c r="N879" s="1"/>
    </row>
    <row r="880" spans="14:14" ht="12.75" customHeight="1" x14ac:dyDescent="0.2">
      <c r="N880" s="1"/>
    </row>
    <row r="881" spans="14:14" ht="12.75" customHeight="1" x14ac:dyDescent="0.2">
      <c r="N881" s="1"/>
    </row>
    <row r="882" spans="14:14" ht="12.75" customHeight="1" x14ac:dyDescent="0.2">
      <c r="N882" s="1"/>
    </row>
    <row r="883" spans="14:14" ht="12.75" customHeight="1" x14ac:dyDescent="0.2">
      <c r="N883" s="1"/>
    </row>
    <row r="884" spans="14:14" ht="12.75" customHeight="1" x14ac:dyDescent="0.2">
      <c r="N884" s="1"/>
    </row>
    <row r="885" spans="14:14" ht="12.75" customHeight="1" x14ac:dyDescent="0.2">
      <c r="N885" s="1"/>
    </row>
    <row r="886" spans="14:14" ht="12.75" customHeight="1" x14ac:dyDescent="0.2">
      <c r="N886" s="1"/>
    </row>
    <row r="887" spans="14:14" ht="12.75" customHeight="1" x14ac:dyDescent="0.2">
      <c r="N887" s="1"/>
    </row>
    <row r="888" spans="14:14" ht="12.75" customHeight="1" x14ac:dyDescent="0.2">
      <c r="N888" s="1"/>
    </row>
    <row r="889" spans="14:14" ht="12.75" customHeight="1" x14ac:dyDescent="0.2">
      <c r="N889" s="1"/>
    </row>
    <row r="890" spans="14:14" ht="12.75" customHeight="1" x14ac:dyDescent="0.2">
      <c r="N890" s="1"/>
    </row>
    <row r="891" spans="14:14" ht="12.75" customHeight="1" x14ac:dyDescent="0.2">
      <c r="N891" s="1"/>
    </row>
    <row r="892" spans="14:14" ht="12.75" customHeight="1" x14ac:dyDescent="0.2">
      <c r="N892" s="1"/>
    </row>
    <row r="893" spans="14:14" ht="12.75" customHeight="1" x14ac:dyDescent="0.2">
      <c r="N893" s="1"/>
    </row>
    <row r="894" spans="14:14" ht="12.75" customHeight="1" x14ac:dyDescent="0.2">
      <c r="N894" s="1"/>
    </row>
    <row r="895" spans="14:14" ht="12.75" customHeight="1" x14ac:dyDescent="0.2">
      <c r="N895" s="1"/>
    </row>
    <row r="896" spans="14:14" ht="12.75" customHeight="1" x14ac:dyDescent="0.2">
      <c r="N896" s="1"/>
    </row>
    <row r="897" spans="14:14" ht="12.75" customHeight="1" x14ac:dyDescent="0.2">
      <c r="N897" s="1"/>
    </row>
    <row r="898" spans="14:14" ht="12.75" customHeight="1" x14ac:dyDescent="0.2">
      <c r="N898" s="1"/>
    </row>
    <row r="899" spans="14:14" ht="12.75" customHeight="1" x14ac:dyDescent="0.2">
      <c r="N899" s="1"/>
    </row>
    <row r="900" spans="14:14" ht="12.75" customHeight="1" x14ac:dyDescent="0.2">
      <c r="N900" s="1"/>
    </row>
    <row r="901" spans="14:14" ht="12.75" customHeight="1" x14ac:dyDescent="0.2">
      <c r="N901" s="1"/>
    </row>
    <row r="902" spans="14:14" ht="12.75" customHeight="1" x14ac:dyDescent="0.2">
      <c r="N902" s="1"/>
    </row>
    <row r="903" spans="14:14" ht="12.75" customHeight="1" x14ac:dyDescent="0.2">
      <c r="N903" s="1"/>
    </row>
    <row r="904" spans="14:14" ht="12.75" customHeight="1" x14ac:dyDescent="0.2">
      <c r="N904" s="1"/>
    </row>
    <row r="905" spans="14:14" ht="12.75" customHeight="1" x14ac:dyDescent="0.2">
      <c r="N905" s="1"/>
    </row>
    <row r="906" spans="14:14" ht="12.75" customHeight="1" x14ac:dyDescent="0.2">
      <c r="N906" s="1"/>
    </row>
    <row r="907" spans="14:14" ht="12.75" customHeight="1" x14ac:dyDescent="0.2">
      <c r="N907" s="1"/>
    </row>
    <row r="908" spans="14:14" ht="12.75" customHeight="1" x14ac:dyDescent="0.2">
      <c r="N908" s="1"/>
    </row>
    <row r="909" spans="14:14" ht="12.75" customHeight="1" x14ac:dyDescent="0.2">
      <c r="N909" s="1"/>
    </row>
    <row r="910" spans="14:14" ht="12.75" customHeight="1" x14ac:dyDescent="0.2">
      <c r="N910" s="1"/>
    </row>
    <row r="911" spans="14:14" ht="12.75" customHeight="1" x14ac:dyDescent="0.2">
      <c r="N911" s="1"/>
    </row>
    <row r="912" spans="14:14" ht="12.75" customHeight="1" x14ac:dyDescent="0.2">
      <c r="N912" s="1"/>
    </row>
    <row r="913" spans="14:14" ht="12.75" customHeight="1" x14ac:dyDescent="0.2">
      <c r="N913" s="1"/>
    </row>
    <row r="914" spans="14:14" ht="12.75" customHeight="1" x14ac:dyDescent="0.2">
      <c r="N914" s="1"/>
    </row>
    <row r="915" spans="14:14" ht="12.75" customHeight="1" x14ac:dyDescent="0.2">
      <c r="N915" s="1"/>
    </row>
    <row r="916" spans="14:14" ht="12.75" customHeight="1" x14ac:dyDescent="0.2">
      <c r="N916" s="1"/>
    </row>
    <row r="917" spans="14:14" ht="12.75" customHeight="1" x14ac:dyDescent="0.2">
      <c r="N917" s="1"/>
    </row>
    <row r="918" spans="14:14" ht="12.75" customHeight="1" x14ac:dyDescent="0.2">
      <c r="N918" s="1"/>
    </row>
    <row r="919" spans="14:14" ht="12.75" customHeight="1" x14ac:dyDescent="0.2">
      <c r="N919" s="1"/>
    </row>
    <row r="920" spans="14:14" ht="12.75" customHeight="1" x14ac:dyDescent="0.2">
      <c r="N920" s="1"/>
    </row>
    <row r="921" spans="14:14" ht="12.75" customHeight="1" x14ac:dyDescent="0.2">
      <c r="N921" s="1"/>
    </row>
    <row r="922" spans="14:14" ht="12.75" customHeight="1" x14ac:dyDescent="0.2">
      <c r="N922" s="1"/>
    </row>
    <row r="923" spans="14:14" ht="12.75" customHeight="1" x14ac:dyDescent="0.2">
      <c r="N923" s="1"/>
    </row>
    <row r="924" spans="14:14" ht="12.75" customHeight="1" x14ac:dyDescent="0.2">
      <c r="N924" s="1"/>
    </row>
    <row r="925" spans="14:14" ht="12.75" customHeight="1" x14ac:dyDescent="0.2">
      <c r="N925" s="1"/>
    </row>
    <row r="926" spans="14:14" ht="12.75" customHeight="1" x14ac:dyDescent="0.2">
      <c r="N926" s="1"/>
    </row>
    <row r="927" spans="14:14" ht="12.75" customHeight="1" x14ac:dyDescent="0.2">
      <c r="N927" s="1"/>
    </row>
    <row r="928" spans="14:14" ht="12.75" customHeight="1" x14ac:dyDescent="0.2">
      <c r="N928" s="1"/>
    </row>
    <row r="929" spans="14:14" ht="12.75" customHeight="1" x14ac:dyDescent="0.2">
      <c r="N929" s="1"/>
    </row>
    <row r="930" spans="14:14" ht="12.75" customHeight="1" x14ac:dyDescent="0.2">
      <c r="N930" s="1"/>
    </row>
    <row r="931" spans="14:14" ht="12.75" customHeight="1" x14ac:dyDescent="0.2">
      <c r="N931" s="1"/>
    </row>
    <row r="932" spans="14:14" ht="12.75" customHeight="1" x14ac:dyDescent="0.2">
      <c r="N932" s="1"/>
    </row>
    <row r="933" spans="14:14" ht="12.75" customHeight="1" x14ac:dyDescent="0.2">
      <c r="N933" s="1"/>
    </row>
    <row r="934" spans="14:14" ht="12.75" customHeight="1" x14ac:dyDescent="0.2">
      <c r="N934" s="1"/>
    </row>
    <row r="935" spans="14:14" ht="12.75" customHeight="1" x14ac:dyDescent="0.2">
      <c r="N935" s="1"/>
    </row>
    <row r="936" spans="14:14" ht="12.75" customHeight="1" x14ac:dyDescent="0.2">
      <c r="N936" s="1"/>
    </row>
    <row r="937" spans="14:14" ht="12.75" customHeight="1" x14ac:dyDescent="0.2">
      <c r="N937" s="1"/>
    </row>
    <row r="938" spans="14:14" ht="12.75" customHeight="1" x14ac:dyDescent="0.2">
      <c r="N938" s="1"/>
    </row>
    <row r="939" spans="14:14" ht="12.75" customHeight="1" x14ac:dyDescent="0.2">
      <c r="N939" s="1"/>
    </row>
    <row r="940" spans="14:14" ht="12.75" customHeight="1" x14ac:dyDescent="0.2">
      <c r="N940" s="1"/>
    </row>
    <row r="941" spans="14:14" ht="12.75" customHeight="1" x14ac:dyDescent="0.2">
      <c r="N941" s="1"/>
    </row>
    <row r="942" spans="14:14" ht="12.75" customHeight="1" x14ac:dyDescent="0.2">
      <c r="N942" s="1"/>
    </row>
    <row r="943" spans="14:14" ht="12.75" customHeight="1" x14ac:dyDescent="0.2">
      <c r="N943" s="1"/>
    </row>
    <row r="944" spans="14:14" ht="12.75" customHeight="1" x14ac:dyDescent="0.2">
      <c r="N944" s="1"/>
    </row>
    <row r="945" spans="14:14" ht="12.75" customHeight="1" x14ac:dyDescent="0.2">
      <c r="N945" s="1"/>
    </row>
    <row r="946" spans="14:14" ht="12.75" customHeight="1" x14ac:dyDescent="0.2">
      <c r="N946" s="1"/>
    </row>
    <row r="947" spans="14:14" ht="12.75" customHeight="1" x14ac:dyDescent="0.2">
      <c r="N947" s="1"/>
    </row>
    <row r="948" spans="14:14" ht="12.75" customHeight="1" x14ac:dyDescent="0.2">
      <c r="N948" s="1"/>
    </row>
    <row r="949" spans="14:14" ht="12.75" customHeight="1" x14ac:dyDescent="0.2">
      <c r="N949" s="1"/>
    </row>
    <row r="950" spans="14:14" ht="12.75" customHeight="1" x14ac:dyDescent="0.2">
      <c r="N950" s="1"/>
    </row>
    <row r="951" spans="14:14" ht="12.75" customHeight="1" x14ac:dyDescent="0.2">
      <c r="N951" s="1"/>
    </row>
    <row r="952" spans="14:14" ht="12.75" customHeight="1" x14ac:dyDescent="0.2">
      <c r="N952" s="1"/>
    </row>
    <row r="953" spans="14:14" ht="12.75" customHeight="1" x14ac:dyDescent="0.2">
      <c r="N953" s="1"/>
    </row>
    <row r="954" spans="14:14" ht="12.75" customHeight="1" x14ac:dyDescent="0.2">
      <c r="N954" s="1"/>
    </row>
    <row r="955" spans="14:14" ht="12.75" customHeight="1" x14ac:dyDescent="0.2">
      <c r="N955" s="1"/>
    </row>
    <row r="956" spans="14:14" ht="12.75" customHeight="1" x14ac:dyDescent="0.2">
      <c r="N956" s="1"/>
    </row>
    <row r="957" spans="14:14" ht="12.75" customHeight="1" x14ac:dyDescent="0.2">
      <c r="N957" s="1"/>
    </row>
    <row r="958" spans="14:14" ht="12.75" customHeight="1" x14ac:dyDescent="0.2">
      <c r="N958" s="1"/>
    </row>
    <row r="959" spans="14:14" ht="12.75" customHeight="1" x14ac:dyDescent="0.2">
      <c r="N959" s="1"/>
    </row>
    <row r="960" spans="14:14" ht="12.75" customHeight="1" x14ac:dyDescent="0.2">
      <c r="N960" s="1"/>
    </row>
    <row r="961" spans="14:14" ht="12.75" customHeight="1" x14ac:dyDescent="0.2">
      <c r="N961" s="1"/>
    </row>
    <row r="962" spans="14:14" ht="12.75" customHeight="1" x14ac:dyDescent="0.2">
      <c r="N962" s="1"/>
    </row>
    <row r="963" spans="14:14" ht="12.75" customHeight="1" x14ac:dyDescent="0.2">
      <c r="N963" s="1"/>
    </row>
    <row r="964" spans="14:14" ht="12.75" customHeight="1" x14ac:dyDescent="0.2">
      <c r="N964" s="1"/>
    </row>
    <row r="965" spans="14:14" ht="12.75" customHeight="1" x14ac:dyDescent="0.2">
      <c r="N965" s="1"/>
    </row>
    <row r="966" spans="14:14" ht="12.75" customHeight="1" x14ac:dyDescent="0.2">
      <c r="N966" s="1"/>
    </row>
    <row r="967" spans="14:14" ht="12.75" customHeight="1" x14ac:dyDescent="0.2">
      <c r="N967" s="1"/>
    </row>
    <row r="968" spans="14:14" ht="12.75" customHeight="1" x14ac:dyDescent="0.2">
      <c r="N968" s="1"/>
    </row>
    <row r="969" spans="14:14" ht="12.75" customHeight="1" x14ac:dyDescent="0.2">
      <c r="N969" s="1"/>
    </row>
    <row r="970" spans="14:14" ht="12.75" customHeight="1" x14ac:dyDescent="0.2">
      <c r="N970" s="1"/>
    </row>
    <row r="971" spans="14:14" ht="12.75" customHeight="1" x14ac:dyDescent="0.2">
      <c r="N971" s="1"/>
    </row>
    <row r="972" spans="14:14" ht="12.75" customHeight="1" x14ac:dyDescent="0.2">
      <c r="N972" s="1"/>
    </row>
    <row r="973" spans="14:14" ht="12.75" customHeight="1" x14ac:dyDescent="0.2">
      <c r="N973" s="1"/>
    </row>
    <row r="974" spans="14:14" ht="12.75" customHeight="1" x14ac:dyDescent="0.2">
      <c r="N974" s="1"/>
    </row>
    <row r="975" spans="14:14" ht="12.75" customHeight="1" x14ac:dyDescent="0.2">
      <c r="N975" s="1"/>
    </row>
    <row r="976" spans="14:14" ht="12.75" customHeight="1" x14ac:dyDescent="0.2">
      <c r="N976" s="1"/>
    </row>
    <row r="977" spans="14:14" ht="12.75" customHeight="1" x14ac:dyDescent="0.2">
      <c r="N977" s="1"/>
    </row>
    <row r="978" spans="14:14" ht="12.75" customHeight="1" x14ac:dyDescent="0.2">
      <c r="N978" s="1"/>
    </row>
    <row r="979" spans="14:14" ht="12.75" customHeight="1" x14ac:dyDescent="0.2">
      <c r="N979" s="1"/>
    </row>
    <row r="980" spans="14:14" ht="12.75" customHeight="1" x14ac:dyDescent="0.2">
      <c r="N980" s="1"/>
    </row>
    <row r="981" spans="14:14" ht="12.75" customHeight="1" x14ac:dyDescent="0.2">
      <c r="N981" s="1"/>
    </row>
    <row r="982" spans="14:14" ht="12.75" customHeight="1" x14ac:dyDescent="0.2">
      <c r="N982" s="1"/>
    </row>
    <row r="983" spans="14:14" ht="12.75" customHeight="1" x14ac:dyDescent="0.2">
      <c r="N983" s="1"/>
    </row>
    <row r="984" spans="14:14" ht="12.75" customHeight="1" x14ac:dyDescent="0.2">
      <c r="N984" s="1"/>
    </row>
    <row r="985" spans="14:14" ht="12.75" customHeight="1" x14ac:dyDescent="0.2">
      <c r="N985" s="1"/>
    </row>
    <row r="986" spans="14:14" ht="12.75" customHeight="1" x14ac:dyDescent="0.2">
      <c r="N986" s="1"/>
    </row>
    <row r="987" spans="14:14" ht="12.75" customHeight="1" x14ac:dyDescent="0.2">
      <c r="N987" s="1"/>
    </row>
    <row r="988" spans="14:14" ht="12.75" customHeight="1" x14ac:dyDescent="0.2">
      <c r="N988" s="1"/>
    </row>
    <row r="989" spans="14:14" ht="12.75" customHeight="1" x14ac:dyDescent="0.2">
      <c r="N989" s="1"/>
    </row>
    <row r="990" spans="14:14" ht="12.75" customHeight="1" x14ac:dyDescent="0.2">
      <c r="N990" s="1"/>
    </row>
    <row r="991" spans="14:14" ht="12.75" customHeight="1" x14ac:dyDescent="0.2">
      <c r="N991" s="1"/>
    </row>
    <row r="992" spans="14:14" ht="12.75" customHeight="1" x14ac:dyDescent="0.2">
      <c r="N992" s="1"/>
    </row>
    <row r="993" spans="14:14" ht="12.75" customHeight="1" x14ac:dyDescent="0.2">
      <c r="N993" s="1"/>
    </row>
    <row r="994" spans="14:14" ht="12.75" customHeight="1" x14ac:dyDescent="0.2">
      <c r="N994" s="1"/>
    </row>
    <row r="995" spans="14:14" ht="12.75" customHeight="1" x14ac:dyDescent="0.2">
      <c r="N995" s="1"/>
    </row>
    <row r="996" spans="14:14" ht="12.75" customHeight="1" x14ac:dyDescent="0.2">
      <c r="N996" s="1"/>
    </row>
    <row r="997" spans="14:14" ht="12.75" customHeight="1" x14ac:dyDescent="0.2">
      <c r="N997" s="1"/>
    </row>
    <row r="998" spans="14:14" ht="12.75" customHeight="1" x14ac:dyDescent="0.2">
      <c r="N998" s="1"/>
    </row>
    <row r="999" spans="14:14" ht="12.75" customHeight="1" x14ac:dyDescent="0.2">
      <c r="N999" s="1"/>
    </row>
    <row r="1000" spans="14:14" ht="12.75" customHeight="1" x14ac:dyDescent="0.2">
      <c r="N1000" s="1"/>
    </row>
  </sheetData>
  <mergeCells count="54">
    <mergeCell ref="B84:C84"/>
    <mergeCell ref="B91:C91"/>
    <mergeCell ref="B102:C102"/>
    <mergeCell ref="B156:C156"/>
    <mergeCell ref="B236:D236"/>
    <mergeCell ref="B33:C33"/>
    <mergeCell ref="B49:C49"/>
    <mergeCell ref="A55:M55"/>
    <mergeCell ref="B56:C56"/>
    <mergeCell ref="B68:C68"/>
    <mergeCell ref="B13:D13"/>
    <mergeCell ref="F11:F12"/>
    <mergeCell ref="G11:I11"/>
    <mergeCell ref="B19:C19"/>
    <mergeCell ref="A32:M32"/>
    <mergeCell ref="J11:L11"/>
    <mergeCell ref="M11:M12"/>
    <mergeCell ref="D9:G9"/>
    <mergeCell ref="A10:M10"/>
    <mergeCell ref="A11:A12"/>
    <mergeCell ref="B11:B12"/>
    <mergeCell ref="C11:C12"/>
    <mergeCell ref="D11:D12"/>
    <mergeCell ref="E11:E12"/>
    <mergeCell ref="D5:G5"/>
    <mergeCell ref="D6:G6"/>
    <mergeCell ref="D7:G7"/>
    <mergeCell ref="D8:G8"/>
    <mergeCell ref="A1:M1"/>
    <mergeCell ref="A2:M2"/>
    <mergeCell ref="A3:A9"/>
    <mergeCell ref="B3:C9"/>
    <mergeCell ref="D3:G3"/>
    <mergeCell ref="D4:G4"/>
    <mergeCell ref="L5:M5"/>
    <mergeCell ref="B436:C436"/>
    <mergeCell ref="A441:M441"/>
    <mergeCell ref="B300:C300"/>
    <mergeCell ref="B316:C316"/>
    <mergeCell ref="A323:M323"/>
    <mergeCell ref="B324:C324"/>
    <mergeCell ref="B329:C329"/>
    <mergeCell ref="B341:C341"/>
    <mergeCell ref="B348:C348"/>
    <mergeCell ref="B288:C288"/>
    <mergeCell ref="A299:M299"/>
    <mergeCell ref="B358:C358"/>
    <mergeCell ref="B382:C382"/>
    <mergeCell ref="B430:C430"/>
    <mergeCell ref="B257:C257"/>
    <mergeCell ref="B263:C263"/>
    <mergeCell ref="B274:C274"/>
    <mergeCell ref="B282:C282"/>
    <mergeCell ref="B287:D287"/>
  </mergeCells>
  <hyperlinks>
    <hyperlink ref="D119" r:id="rId1" xr:uid="{00000000-0004-0000-0000-000000000000}"/>
  </hyperlinks>
  <pageMargins left="0.78749999999999998" right="0.78749999999999998" top="1.05277777777778" bottom="1.05277777777778" header="0" footer="0"/>
  <pageSetup paperSize="9" orientation="portrait"/>
  <headerFooter>
    <oddHeader>&amp;Cffffff&amp;A</oddHeader>
    <oddFooter>&amp;CffffffPágina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000"/>
  <sheetViews>
    <sheetView showGridLines="0" workbookViewId="0"/>
  </sheetViews>
  <sheetFormatPr defaultColWidth="14.42578125" defaultRowHeight="15" customHeight="1" x14ac:dyDescent="0.2"/>
  <cols>
    <col min="1" max="1" width="14.42578125" customWidth="1"/>
    <col min="2" max="2" width="47" customWidth="1"/>
    <col min="3" max="6" width="14.42578125" customWidth="1"/>
  </cols>
  <sheetData>
    <row r="1" spans="1:29" ht="15.75" x14ac:dyDescent="0.25">
      <c r="A1" s="120"/>
      <c r="B1" s="121"/>
      <c r="C1" s="121"/>
      <c r="D1" s="122"/>
      <c r="E1" s="122"/>
      <c r="F1" s="122"/>
      <c r="G1" s="122"/>
      <c r="H1" s="123"/>
      <c r="I1" s="123"/>
      <c r="J1" s="123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</row>
    <row r="2" spans="1:29" ht="15" customHeight="1" x14ac:dyDescent="0.25">
      <c r="A2" s="282"/>
      <c r="B2" s="258" t="s">
        <v>0</v>
      </c>
      <c r="C2" s="259"/>
      <c r="D2" s="264" t="s">
        <v>1</v>
      </c>
      <c r="E2" s="250"/>
      <c r="F2" s="250"/>
      <c r="G2" s="251"/>
      <c r="H2" s="125"/>
      <c r="I2" s="126"/>
      <c r="J2" s="126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</row>
    <row r="3" spans="1:29" ht="15" customHeight="1" x14ac:dyDescent="0.25">
      <c r="A3" s="256"/>
      <c r="B3" s="260"/>
      <c r="C3" s="261"/>
      <c r="D3" s="265" t="s">
        <v>2</v>
      </c>
      <c r="E3" s="250"/>
      <c r="F3" s="250"/>
      <c r="G3" s="251"/>
      <c r="H3" s="125"/>
      <c r="I3" s="126"/>
      <c r="J3" s="126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</row>
    <row r="4" spans="1:29" ht="15" customHeight="1" x14ac:dyDescent="0.25">
      <c r="A4" s="256"/>
      <c r="B4" s="260"/>
      <c r="C4" s="261"/>
      <c r="D4" s="249" t="s">
        <v>4</v>
      </c>
      <c r="E4" s="250"/>
      <c r="F4" s="250"/>
      <c r="G4" s="251"/>
      <c r="H4" s="125"/>
      <c r="I4" s="126"/>
      <c r="J4" s="126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</row>
    <row r="5" spans="1:29" ht="15" customHeight="1" x14ac:dyDescent="0.25">
      <c r="A5" s="256"/>
      <c r="B5" s="260"/>
      <c r="C5" s="261"/>
      <c r="D5" s="252" t="s">
        <v>5</v>
      </c>
      <c r="E5" s="250"/>
      <c r="F5" s="250"/>
      <c r="G5" s="251"/>
      <c r="H5" s="125"/>
      <c r="I5" s="126"/>
      <c r="J5" s="126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</row>
    <row r="6" spans="1:29" ht="15" customHeight="1" x14ac:dyDescent="0.25">
      <c r="A6" s="256"/>
      <c r="B6" s="260"/>
      <c r="C6" s="261"/>
      <c r="D6" s="253"/>
      <c r="E6" s="250"/>
      <c r="F6" s="250"/>
      <c r="G6" s="251"/>
      <c r="H6" s="125"/>
      <c r="I6" s="127"/>
      <c r="J6" s="127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</row>
    <row r="7" spans="1:29" ht="15" customHeight="1" x14ac:dyDescent="0.25">
      <c r="A7" s="256"/>
      <c r="B7" s="260"/>
      <c r="C7" s="261"/>
      <c r="D7" s="254" t="s">
        <v>9</v>
      </c>
      <c r="E7" s="250"/>
      <c r="F7" s="250"/>
      <c r="G7" s="251"/>
      <c r="H7" s="125"/>
      <c r="I7" s="126"/>
      <c r="J7" s="126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</row>
    <row r="8" spans="1:29" ht="15" customHeight="1" x14ac:dyDescent="0.25">
      <c r="A8" s="256"/>
      <c r="B8" s="262"/>
      <c r="C8" s="263"/>
      <c r="D8" s="273"/>
      <c r="E8" s="250"/>
      <c r="F8" s="250"/>
      <c r="G8" s="251"/>
      <c r="H8" s="125"/>
      <c r="I8" s="126"/>
      <c r="J8" s="126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</row>
    <row r="9" spans="1:29" x14ac:dyDescent="0.25">
      <c r="A9" s="124"/>
      <c r="B9" s="124"/>
      <c r="C9" s="124"/>
      <c r="D9" s="124"/>
      <c r="E9" s="124"/>
      <c r="F9" s="124"/>
      <c r="G9" s="124"/>
      <c r="H9" s="126"/>
      <c r="I9" s="126"/>
      <c r="J9" s="126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</row>
    <row r="10" spans="1:29" ht="18.75" x14ac:dyDescent="0.3">
      <c r="A10" s="279" t="s">
        <v>1089</v>
      </c>
      <c r="B10" s="280"/>
      <c r="C10" s="280"/>
      <c r="D10" s="280"/>
      <c r="E10" s="280"/>
      <c r="F10" s="280"/>
      <c r="G10" s="280"/>
      <c r="H10" s="280"/>
      <c r="I10" s="280"/>
      <c r="J10" s="281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</row>
    <row r="11" spans="1:29" x14ac:dyDescent="0.25">
      <c r="A11" s="128"/>
      <c r="B11" s="129"/>
      <c r="C11" s="130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</row>
    <row r="12" spans="1:29" ht="23.25" x14ac:dyDescent="0.25">
      <c r="A12" s="131" t="s">
        <v>1090</v>
      </c>
      <c r="B12" s="132" t="s">
        <v>1091</v>
      </c>
      <c r="C12" s="133" t="s">
        <v>14</v>
      </c>
      <c r="D12" s="134"/>
      <c r="E12" s="134"/>
      <c r="F12" s="134"/>
      <c r="G12" s="134"/>
      <c r="H12" s="134"/>
      <c r="I12" s="134"/>
      <c r="J12" s="134"/>
      <c r="K12" s="124"/>
    </row>
    <row r="13" spans="1:29" x14ac:dyDescent="0.25">
      <c r="A13" s="135" t="s">
        <v>12</v>
      </c>
      <c r="B13" s="136" t="s">
        <v>10</v>
      </c>
      <c r="C13" s="136" t="s">
        <v>14</v>
      </c>
      <c r="D13" s="136" t="s">
        <v>1092</v>
      </c>
      <c r="E13" s="136" t="s">
        <v>1093</v>
      </c>
      <c r="F13" s="136" t="s">
        <v>20</v>
      </c>
      <c r="G13" s="136" t="s">
        <v>1094</v>
      </c>
      <c r="H13" s="135"/>
      <c r="I13" s="135"/>
      <c r="J13" s="135" t="s">
        <v>1095</v>
      </c>
      <c r="K13" s="124"/>
    </row>
    <row r="14" spans="1:29" ht="23.25" x14ac:dyDescent="0.25">
      <c r="A14" s="137">
        <v>1319</v>
      </c>
      <c r="B14" s="138" t="s">
        <v>771</v>
      </c>
      <c r="C14" s="139" t="s">
        <v>1096</v>
      </c>
      <c r="D14" s="140">
        <f>(0.25*0.25)*38</f>
        <v>2.375</v>
      </c>
      <c r="E14" s="141">
        <v>12.45</v>
      </c>
      <c r="F14" s="141">
        <v>0</v>
      </c>
      <c r="G14" s="141">
        <f t="shared" ref="G14:G17" si="0">E14+F14</f>
        <v>12.45</v>
      </c>
      <c r="H14" s="142">
        <f t="shared" ref="H14:H17" si="1">E14*D14</f>
        <v>29.568749999999998</v>
      </c>
      <c r="I14" s="142">
        <f t="shared" ref="I14:I17" si="2">F14*D14</f>
        <v>0</v>
      </c>
      <c r="J14" s="142">
        <f t="shared" ref="J14:J17" si="3">G14*D14</f>
        <v>29.568749999999998</v>
      </c>
      <c r="K14" s="124"/>
    </row>
    <row r="15" spans="1:29" x14ac:dyDescent="0.25">
      <c r="A15" s="137">
        <v>11977</v>
      </c>
      <c r="B15" s="138" t="s">
        <v>1097</v>
      </c>
      <c r="C15" s="139" t="s">
        <v>76</v>
      </c>
      <c r="D15" s="140">
        <v>4</v>
      </c>
      <c r="E15" s="141">
        <v>12.98</v>
      </c>
      <c r="F15" s="141">
        <v>0</v>
      </c>
      <c r="G15" s="141">
        <f t="shared" si="0"/>
        <v>12.98</v>
      </c>
      <c r="H15" s="142">
        <f t="shared" si="1"/>
        <v>51.92</v>
      </c>
      <c r="I15" s="142">
        <f t="shared" si="2"/>
        <v>0</v>
      </c>
      <c r="J15" s="142">
        <f t="shared" si="3"/>
        <v>51.92</v>
      </c>
      <c r="K15" s="124"/>
    </row>
    <row r="16" spans="1:29" ht="23.25" x14ac:dyDescent="0.25">
      <c r="A16" s="137">
        <v>88278</v>
      </c>
      <c r="B16" s="138" t="s">
        <v>1098</v>
      </c>
      <c r="C16" s="139" t="s">
        <v>1099</v>
      </c>
      <c r="D16" s="140">
        <v>2</v>
      </c>
      <c r="E16" s="141">
        <v>5.58</v>
      </c>
      <c r="F16" s="141">
        <v>17.54</v>
      </c>
      <c r="G16" s="141">
        <f t="shared" si="0"/>
        <v>23.119999999999997</v>
      </c>
      <c r="H16" s="142">
        <f t="shared" si="1"/>
        <v>11.16</v>
      </c>
      <c r="I16" s="142">
        <f t="shared" si="2"/>
        <v>35.08</v>
      </c>
      <c r="J16" s="142">
        <f t="shared" si="3"/>
        <v>46.239999999999995</v>
      </c>
      <c r="K16" s="124"/>
    </row>
    <row r="17" spans="1:29" x14ac:dyDescent="0.25">
      <c r="A17" s="137">
        <v>88316</v>
      </c>
      <c r="B17" s="138" t="s">
        <v>1100</v>
      </c>
      <c r="C17" s="139" t="s">
        <v>1099</v>
      </c>
      <c r="D17" s="140">
        <v>2</v>
      </c>
      <c r="E17" s="141">
        <v>6.52</v>
      </c>
      <c r="F17" s="141">
        <v>13.26</v>
      </c>
      <c r="G17" s="141">
        <f t="shared" si="0"/>
        <v>19.78</v>
      </c>
      <c r="H17" s="142">
        <f t="shared" si="1"/>
        <v>13.04</v>
      </c>
      <c r="I17" s="142">
        <f t="shared" si="2"/>
        <v>26.52</v>
      </c>
      <c r="J17" s="142">
        <f t="shared" si="3"/>
        <v>39.56</v>
      </c>
      <c r="K17" s="124"/>
    </row>
    <row r="18" spans="1:29" x14ac:dyDescent="0.25">
      <c r="A18" s="124"/>
      <c r="B18" s="124"/>
      <c r="C18" s="124"/>
      <c r="D18" s="124"/>
      <c r="E18" s="124"/>
      <c r="F18" s="143"/>
      <c r="G18" s="144" t="s">
        <v>1101</v>
      </c>
      <c r="H18" s="145">
        <f t="shared" ref="H18:J18" si="4">SUM(H14:H17)</f>
        <v>105.68875</v>
      </c>
      <c r="I18" s="145">
        <f t="shared" si="4"/>
        <v>61.599999999999994</v>
      </c>
      <c r="J18" s="145">
        <f t="shared" si="4"/>
        <v>167.28874999999999</v>
      </c>
      <c r="K18" s="124"/>
    </row>
    <row r="20" spans="1:29" ht="23.25" x14ac:dyDescent="0.25">
      <c r="A20" s="131" t="s">
        <v>1102</v>
      </c>
      <c r="B20" s="132" t="s">
        <v>1103</v>
      </c>
      <c r="C20" s="133" t="s">
        <v>764</v>
      </c>
      <c r="D20" s="134"/>
      <c r="E20" s="134"/>
      <c r="F20" s="134"/>
      <c r="G20" s="134"/>
      <c r="H20" s="134"/>
      <c r="I20" s="134"/>
      <c r="J20" s="13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</row>
    <row r="21" spans="1:29" ht="15.75" customHeight="1" x14ac:dyDescent="0.25">
      <c r="A21" s="135" t="s">
        <v>12</v>
      </c>
      <c r="B21" s="136" t="s">
        <v>10</v>
      </c>
      <c r="C21" s="136" t="s">
        <v>14</v>
      </c>
      <c r="D21" s="136" t="s">
        <v>1092</v>
      </c>
      <c r="E21" s="136" t="s">
        <v>1093</v>
      </c>
      <c r="F21" s="136" t="s">
        <v>20</v>
      </c>
      <c r="G21" s="136" t="s">
        <v>1094</v>
      </c>
      <c r="H21" s="135"/>
      <c r="I21" s="135"/>
      <c r="J21" s="135" t="s">
        <v>1095</v>
      </c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</row>
    <row r="22" spans="1:29" ht="15.75" customHeight="1" x14ac:dyDescent="0.25">
      <c r="A22" s="137">
        <v>40535</v>
      </c>
      <c r="B22" s="138" t="s">
        <v>1104</v>
      </c>
      <c r="C22" s="139" t="s">
        <v>1096</v>
      </c>
      <c r="D22" s="140">
        <v>1</v>
      </c>
      <c r="E22" s="141">
        <v>13.86</v>
      </c>
      <c r="F22" s="141">
        <v>0</v>
      </c>
      <c r="G22" s="141">
        <f t="shared" ref="G22:G24" si="5">E22+F22</f>
        <v>13.86</v>
      </c>
      <c r="H22" s="142">
        <f t="shared" ref="H22:H24" si="6">E22*D22</f>
        <v>13.86</v>
      </c>
      <c r="I22" s="142">
        <f t="shared" ref="I22:I24" si="7">F22*D22</f>
        <v>0</v>
      </c>
      <c r="J22" s="142">
        <f t="shared" ref="J22:J24" si="8">G22*D22</f>
        <v>13.86</v>
      </c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</row>
    <row r="23" spans="1:29" ht="15.75" customHeight="1" x14ac:dyDescent="0.25">
      <c r="A23" s="137">
        <v>88278</v>
      </c>
      <c r="B23" s="138" t="s">
        <v>1098</v>
      </c>
      <c r="C23" s="139" t="s">
        <v>1099</v>
      </c>
      <c r="D23" s="140">
        <v>0.1</v>
      </c>
      <c r="E23" s="141">
        <v>5.58</v>
      </c>
      <c r="F23" s="141">
        <v>17.54</v>
      </c>
      <c r="G23" s="141">
        <f t="shared" si="5"/>
        <v>23.119999999999997</v>
      </c>
      <c r="H23" s="142">
        <f t="shared" si="6"/>
        <v>0.55800000000000005</v>
      </c>
      <c r="I23" s="142">
        <f t="shared" si="7"/>
        <v>1.754</v>
      </c>
      <c r="J23" s="142">
        <f t="shared" si="8"/>
        <v>2.3119999999999998</v>
      </c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</row>
    <row r="24" spans="1:29" ht="15.75" customHeight="1" x14ac:dyDescent="0.25">
      <c r="A24" s="137">
        <v>88316</v>
      </c>
      <c r="B24" s="138" t="s">
        <v>1100</v>
      </c>
      <c r="C24" s="139" t="s">
        <v>1099</v>
      </c>
      <c r="D24" s="140">
        <v>0.1</v>
      </c>
      <c r="E24" s="141">
        <v>6.52</v>
      </c>
      <c r="F24" s="141">
        <v>13.26</v>
      </c>
      <c r="G24" s="141">
        <f t="shared" si="5"/>
        <v>19.78</v>
      </c>
      <c r="H24" s="142">
        <f t="shared" si="6"/>
        <v>0.65200000000000002</v>
      </c>
      <c r="I24" s="142">
        <f t="shared" si="7"/>
        <v>1.3260000000000001</v>
      </c>
      <c r="J24" s="142">
        <f t="shared" si="8"/>
        <v>1.9780000000000002</v>
      </c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</row>
    <row r="25" spans="1:29" ht="15.75" customHeight="1" x14ac:dyDescent="0.25">
      <c r="A25" s="124"/>
      <c r="B25" s="124"/>
      <c r="C25" s="124"/>
      <c r="D25" s="124"/>
      <c r="E25" s="124"/>
      <c r="F25" s="143"/>
      <c r="G25" s="144" t="s">
        <v>1101</v>
      </c>
      <c r="H25" s="145">
        <f t="shared" ref="H25:J25" si="9">SUM(H21:H24)</f>
        <v>15.069999999999999</v>
      </c>
      <c r="I25" s="145">
        <f t="shared" si="9"/>
        <v>3.08</v>
      </c>
      <c r="J25" s="145">
        <f t="shared" si="9"/>
        <v>18.150000000000002</v>
      </c>
      <c r="K25" s="124"/>
    </row>
    <row r="26" spans="1:29" ht="15.75" customHeight="1" x14ac:dyDescent="0.2"/>
    <row r="27" spans="1:29" ht="15.75" customHeight="1" x14ac:dyDescent="0.25">
      <c r="A27" s="131" t="s">
        <v>1105</v>
      </c>
      <c r="B27" s="132" t="s">
        <v>1106</v>
      </c>
      <c r="C27" s="133" t="s">
        <v>764</v>
      </c>
      <c r="D27" s="134"/>
      <c r="E27" s="134"/>
      <c r="F27" s="134"/>
      <c r="G27" s="134"/>
      <c r="H27" s="134"/>
      <c r="I27" s="134"/>
      <c r="J27" s="13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</row>
    <row r="28" spans="1:29" ht="15.75" customHeight="1" x14ac:dyDescent="0.25">
      <c r="A28" s="135" t="s">
        <v>12</v>
      </c>
      <c r="B28" s="136" t="s">
        <v>10</v>
      </c>
      <c r="C28" s="136" t="s">
        <v>14</v>
      </c>
      <c r="D28" s="136" t="s">
        <v>1092</v>
      </c>
      <c r="E28" s="136" t="s">
        <v>1093</v>
      </c>
      <c r="F28" s="136" t="s">
        <v>20</v>
      </c>
      <c r="G28" s="136" t="s">
        <v>1094</v>
      </c>
      <c r="H28" s="135"/>
      <c r="I28" s="135"/>
      <c r="J28" s="135" t="s">
        <v>1095</v>
      </c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</row>
    <row r="29" spans="1:29" ht="15.75" customHeight="1" x14ac:dyDescent="0.25">
      <c r="A29" s="137">
        <v>5031</v>
      </c>
      <c r="B29" s="138" t="s">
        <v>1107</v>
      </c>
      <c r="C29" s="139" t="s">
        <v>30</v>
      </c>
      <c r="D29" s="140">
        <v>1</v>
      </c>
      <c r="E29" s="141">
        <v>355</v>
      </c>
      <c r="F29" s="141">
        <v>0</v>
      </c>
      <c r="G29" s="141">
        <f t="shared" ref="G29:G36" si="10">E29+F29</f>
        <v>355</v>
      </c>
      <c r="H29" s="142">
        <f t="shared" ref="H29:H36" si="11">E29*D29</f>
        <v>355</v>
      </c>
      <c r="I29" s="142">
        <f t="shared" ref="I29:I36" si="12">F29*D29</f>
        <v>0</v>
      </c>
      <c r="J29" s="142">
        <f t="shared" ref="J29:J36" si="13">G29*D29</f>
        <v>355</v>
      </c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</row>
    <row r="30" spans="1:29" ht="15.75" customHeight="1" x14ac:dyDescent="0.25">
      <c r="A30" s="137">
        <v>94590</v>
      </c>
      <c r="B30" s="138" t="s">
        <v>1108</v>
      </c>
      <c r="C30" s="139" t="s">
        <v>171</v>
      </c>
      <c r="D30" s="140">
        <v>3</v>
      </c>
      <c r="E30" s="141">
        <v>14.02</v>
      </c>
      <c r="F30" s="141">
        <v>3.85</v>
      </c>
      <c r="G30" s="141">
        <f t="shared" si="10"/>
        <v>17.87</v>
      </c>
      <c r="H30" s="142">
        <f t="shared" si="11"/>
        <v>42.06</v>
      </c>
      <c r="I30" s="142">
        <f t="shared" si="12"/>
        <v>11.55</v>
      </c>
      <c r="J30" s="142">
        <f t="shared" si="13"/>
        <v>53.61</v>
      </c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</row>
    <row r="31" spans="1:29" ht="15.75" customHeight="1" x14ac:dyDescent="0.25">
      <c r="A31" s="137">
        <v>39421</v>
      </c>
      <c r="B31" s="138" t="s">
        <v>1109</v>
      </c>
      <c r="C31" s="139" t="s">
        <v>171</v>
      </c>
      <c r="D31" s="140">
        <v>2.1</v>
      </c>
      <c r="E31" s="141">
        <v>8.4499999999999993</v>
      </c>
      <c r="F31" s="141">
        <v>3.85</v>
      </c>
      <c r="G31" s="141">
        <f t="shared" si="10"/>
        <v>12.299999999999999</v>
      </c>
      <c r="H31" s="142">
        <f t="shared" si="11"/>
        <v>17.745000000000001</v>
      </c>
      <c r="I31" s="142">
        <f t="shared" si="12"/>
        <v>8.0850000000000009</v>
      </c>
      <c r="J31" s="142">
        <f t="shared" si="13"/>
        <v>25.83</v>
      </c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</row>
    <row r="32" spans="1:29" ht="15.75" customHeight="1" x14ac:dyDescent="0.25">
      <c r="A32" s="137">
        <v>4377</v>
      </c>
      <c r="B32" s="138" t="s">
        <v>1110</v>
      </c>
      <c r="C32" s="139" t="s">
        <v>14</v>
      </c>
      <c r="D32" s="140">
        <v>17.7</v>
      </c>
      <c r="E32" s="141">
        <v>0.2</v>
      </c>
      <c r="F32" s="141">
        <v>0</v>
      </c>
      <c r="G32" s="141">
        <f t="shared" si="10"/>
        <v>0.2</v>
      </c>
      <c r="H32" s="142">
        <f t="shared" si="11"/>
        <v>3.54</v>
      </c>
      <c r="I32" s="142">
        <f t="shared" si="12"/>
        <v>0</v>
      </c>
      <c r="J32" s="142">
        <f t="shared" si="13"/>
        <v>3.54</v>
      </c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</row>
    <row r="33" spans="1:29" ht="15.75" customHeight="1" x14ac:dyDescent="0.25">
      <c r="A33" s="137">
        <v>39961</v>
      </c>
      <c r="B33" s="138" t="s">
        <v>1111</v>
      </c>
      <c r="C33" s="139" t="s">
        <v>14</v>
      </c>
      <c r="D33" s="140">
        <v>0.43</v>
      </c>
      <c r="E33" s="141">
        <v>19.52</v>
      </c>
      <c r="F33" s="141">
        <v>0</v>
      </c>
      <c r="G33" s="141">
        <f t="shared" si="10"/>
        <v>19.52</v>
      </c>
      <c r="H33" s="142">
        <f t="shared" si="11"/>
        <v>8.3935999999999993</v>
      </c>
      <c r="I33" s="142">
        <f t="shared" si="12"/>
        <v>0</v>
      </c>
      <c r="J33" s="142">
        <f t="shared" si="13"/>
        <v>8.3935999999999993</v>
      </c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</row>
    <row r="34" spans="1:29" ht="15.75" customHeight="1" x14ac:dyDescent="0.25">
      <c r="A34" s="137">
        <v>88278</v>
      </c>
      <c r="B34" s="138" t="s">
        <v>1098</v>
      </c>
      <c r="C34" s="139" t="s">
        <v>1099</v>
      </c>
      <c r="D34" s="140">
        <v>0.55000000000000004</v>
      </c>
      <c r="E34" s="141">
        <v>5.58</v>
      </c>
      <c r="F34" s="141">
        <v>17.54</v>
      </c>
      <c r="G34" s="141">
        <f t="shared" si="10"/>
        <v>23.119999999999997</v>
      </c>
      <c r="H34" s="142">
        <f t="shared" si="11"/>
        <v>3.0690000000000004</v>
      </c>
      <c r="I34" s="142">
        <f t="shared" si="12"/>
        <v>9.6470000000000002</v>
      </c>
      <c r="J34" s="142">
        <f t="shared" si="13"/>
        <v>12.715999999999999</v>
      </c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</row>
    <row r="35" spans="1:29" ht="15.75" customHeight="1" x14ac:dyDescent="0.25">
      <c r="A35" s="137">
        <v>88325</v>
      </c>
      <c r="B35" s="138" t="s">
        <v>1112</v>
      </c>
      <c r="C35" s="139" t="s">
        <v>1099</v>
      </c>
      <c r="D35" s="140">
        <v>0.75</v>
      </c>
      <c r="E35" s="141">
        <v>6.64</v>
      </c>
      <c r="F35" s="141">
        <v>18.96</v>
      </c>
      <c r="G35" s="141">
        <f t="shared" si="10"/>
        <v>25.6</v>
      </c>
      <c r="H35" s="142">
        <f t="shared" si="11"/>
        <v>4.9799999999999995</v>
      </c>
      <c r="I35" s="142">
        <f t="shared" si="12"/>
        <v>14.22</v>
      </c>
      <c r="J35" s="142">
        <f t="shared" si="13"/>
        <v>19.200000000000003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</row>
    <row r="36" spans="1:29" ht="15.75" customHeight="1" x14ac:dyDescent="0.25">
      <c r="A36" s="137">
        <v>88316</v>
      </c>
      <c r="B36" s="138" t="s">
        <v>1100</v>
      </c>
      <c r="C36" s="139" t="s">
        <v>1099</v>
      </c>
      <c r="D36" s="140">
        <v>0.4</v>
      </c>
      <c r="E36" s="141">
        <v>6.52</v>
      </c>
      <c r="F36" s="141">
        <v>13.26</v>
      </c>
      <c r="G36" s="141">
        <f t="shared" si="10"/>
        <v>19.78</v>
      </c>
      <c r="H36" s="142">
        <f t="shared" si="11"/>
        <v>2.6080000000000001</v>
      </c>
      <c r="I36" s="142">
        <f t="shared" si="12"/>
        <v>5.3040000000000003</v>
      </c>
      <c r="J36" s="142">
        <f t="shared" si="13"/>
        <v>7.9120000000000008</v>
      </c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</row>
    <row r="37" spans="1:29" ht="15.75" customHeight="1" x14ac:dyDescent="0.25">
      <c r="A37" s="124"/>
      <c r="B37" s="124"/>
      <c r="C37" s="124"/>
      <c r="D37" s="124"/>
      <c r="E37" s="124"/>
      <c r="F37" s="143"/>
      <c r="G37" s="144" t="s">
        <v>1101</v>
      </c>
      <c r="H37" s="145">
        <f t="shared" ref="H37:J37" si="14">SUM(H29:H36)</f>
        <v>437.39560000000006</v>
      </c>
      <c r="I37" s="145">
        <f t="shared" si="14"/>
        <v>48.806000000000004</v>
      </c>
      <c r="J37" s="145">
        <f t="shared" si="14"/>
        <v>486.20159999999998</v>
      </c>
      <c r="K37" s="124"/>
    </row>
    <row r="38" spans="1:29" ht="15.75" customHeight="1" x14ac:dyDescent="0.25">
      <c r="A38" s="124"/>
      <c r="B38" s="124"/>
      <c r="C38" s="124"/>
      <c r="D38" s="124"/>
      <c r="E38" s="124"/>
      <c r="F38" s="143"/>
      <c r="G38" s="144"/>
      <c r="H38" s="145"/>
      <c r="I38" s="145"/>
      <c r="J38" s="145"/>
      <c r="K38" s="124"/>
    </row>
    <row r="39" spans="1:29" ht="15.75" customHeight="1" x14ac:dyDescent="0.25">
      <c r="A39" s="131" t="s">
        <v>1113</v>
      </c>
      <c r="B39" s="132" t="s">
        <v>1114</v>
      </c>
      <c r="C39" s="133" t="s">
        <v>764</v>
      </c>
      <c r="D39" s="134"/>
      <c r="E39" s="134"/>
      <c r="F39" s="134"/>
      <c r="G39" s="134"/>
      <c r="H39" s="134"/>
      <c r="I39" s="134"/>
      <c r="J39" s="13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</row>
    <row r="40" spans="1:29" ht="15.75" customHeight="1" x14ac:dyDescent="0.25">
      <c r="A40" s="135" t="s">
        <v>12</v>
      </c>
      <c r="B40" s="136" t="s">
        <v>10</v>
      </c>
      <c r="C40" s="136" t="s">
        <v>14</v>
      </c>
      <c r="D40" s="136" t="s">
        <v>1092</v>
      </c>
      <c r="E40" s="136" t="s">
        <v>1093</v>
      </c>
      <c r="F40" s="136" t="s">
        <v>20</v>
      </c>
      <c r="G40" s="136" t="s">
        <v>1094</v>
      </c>
      <c r="H40" s="135"/>
      <c r="I40" s="135"/>
      <c r="J40" s="135" t="s">
        <v>1095</v>
      </c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</row>
    <row r="41" spans="1:29" ht="15.75" customHeight="1" x14ac:dyDescent="0.25">
      <c r="A41" s="137">
        <v>11795</v>
      </c>
      <c r="B41" s="138" t="s">
        <v>288</v>
      </c>
      <c r="C41" s="139" t="s">
        <v>30</v>
      </c>
      <c r="D41" s="140">
        <v>1</v>
      </c>
      <c r="E41" s="141">
        <v>588.66999999999996</v>
      </c>
      <c r="F41" s="141">
        <v>0</v>
      </c>
      <c r="G41" s="141">
        <f t="shared" ref="G41:G45" si="15">E41+F41</f>
        <v>588.66999999999996</v>
      </c>
      <c r="H41" s="142">
        <f t="shared" ref="H41:H45" si="16">E41*D41</f>
        <v>588.66999999999996</v>
      </c>
      <c r="I41" s="142">
        <f t="shared" ref="I41:I45" si="17">F41*D41</f>
        <v>0</v>
      </c>
      <c r="J41" s="142">
        <f t="shared" ref="J41:J45" si="18">G41*D41</f>
        <v>588.66999999999996</v>
      </c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</row>
    <row r="42" spans="1:29" ht="15.75" customHeight="1" x14ac:dyDescent="0.25">
      <c r="A42" s="137">
        <v>1381</v>
      </c>
      <c r="B42" s="138" t="s">
        <v>1115</v>
      </c>
      <c r="C42" s="139" t="s">
        <v>764</v>
      </c>
      <c r="D42" s="140">
        <v>6.14</v>
      </c>
      <c r="E42" s="141">
        <v>0.65</v>
      </c>
      <c r="F42" s="141">
        <v>0</v>
      </c>
      <c r="G42" s="141">
        <f t="shared" si="15"/>
        <v>0.65</v>
      </c>
      <c r="H42" s="142">
        <f t="shared" si="16"/>
        <v>3.9910000000000001</v>
      </c>
      <c r="I42" s="142">
        <f t="shared" si="17"/>
        <v>0</v>
      </c>
      <c r="J42" s="142">
        <f t="shared" si="18"/>
        <v>3.9910000000000001</v>
      </c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</row>
    <row r="43" spans="1:29" ht="15.75" customHeight="1" x14ac:dyDescent="0.25">
      <c r="A43" s="137">
        <v>4823</v>
      </c>
      <c r="B43" s="138" t="s">
        <v>1116</v>
      </c>
      <c r="C43" s="139" t="s">
        <v>764</v>
      </c>
      <c r="D43" s="140">
        <v>0.22</v>
      </c>
      <c r="E43" s="141">
        <v>33.71</v>
      </c>
      <c r="F43" s="141">
        <v>0</v>
      </c>
      <c r="G43" s="141">
        <f t="shared" si="15"/>
        <v>33.71</v>
      </c>
      <c r="H43" s="142">
        <f t="shared" si="16"/>
        <v>7.4161999999999999</v>
      </c>
      <c r="I43" s="142">
        <f t="shared" si="17"/>
        <v>0</v>
      </c>
      <c r="J43" s="142">
        <f t="shared" si="18"/>
        <v>7.4161999999999999</v>
      </c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</row>
    <row r="44" spans="1:29" ht="15.75" customHeight="1" x14ac:dyDescent="0.25">
      <c r="A44" s="137">
        <v>88256</v>
      </c>
      <c r="B44" s="138" t="s">
        <v>1117</v>
      </c>
      <c r="C44" s="139" t="s">
        <v>1099</v>
      </c>
      <c r="D44" s="140">
        <v>0.91</v>
      </c>
      <c r="E44" s="141">
        <v>0</v>
      </c>
      <c r="F44" s="141">
        <v>25.32</v>
      </c>
      <c r="G44" s="141">
        <f t="shared" si="15"/>
        <v>25.32</v>
      </c>
      <c r="H44" s="142">
        <f t="shared" si="16"/>
        <v>0</v>
      </c>
      <c r="I44" s="142">
        <f t="shared" si="17"/>
        <v>23.0412</v>
      </c>
      <c r="J44" s="142">
        <f t="shared" si="18"/>
        <v>23.0412</v>
      </c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</row>
    <row r="45" spans="1:29" ht="15.75" customHeight="1" x14ac:dyDescent="0.25">
      <c r="A45" s="137">
        <v>88316</v>
      </c>
      <c r="B45" s="138" t="s">
        <v>1100</v>
      </c>
      <c r="C45" s="139" t="s">
        <v>1099</v>
      </c>
      <c r="D45" s="140">
        <v>0.46</v>
      </c>
      <c r="E45" s="141">
        <v>0</v>
      </c>
      <c r="F45" s="141">
        <v>19.78</v>
      </c>
      <c r="G45" s="141">
        <f t="shared" si="15"/>
        <v>19.78</v>
      </c>
      <c r="H45" s="142">
        <f t="shared" si="16"/>
        <v>0</v>
      </c>
      <c r="I45" s="142">
        <f t="shared" si="17"/>
        <v>9.0988000000000007</v>
      </c>
      <c r="J45" s="142">
        <f t="shared" si="18"/>
        <v>9.0988000000000007</v>
      </c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</row>
    <row r="46" spans="1:29" ht="15.75" customHeight="1" x14ac:dyDescent="0.25">
      <c r="A46" s="124"/>
      <c r="B46" s="124"/>
      <c r="C46" s="124"/>
      <c r="D46" s="124"/>
      <c r="E46" s="124"/>
      <c r="F46" s="143"/>
      <c r="G46" s="144" t="s">
        <v>1101</v>
      </c>
      <c r="H46" s="145">
        <f t="shared" ref="H46:J46" si="19">SUM(H41:H45)</f>
        <v>600.07719999999995</v>
      </c>
      <c r="I46" s="145">
        <f t="shared" si="19"/>
        <v>32.14</v>
      </c>
      <c r="J46" s="145">
        <f t="shared" si="19"/>
        <v>632.21719999999993</v>
      </c>
      <c r="K46" s="124"/>
    </row>
    <row r="47" spans="1:29" ht="15.75" customHeight="1" x14ac:dyDescent="0.2"/>
    <row r="48" spans="1:29" ht="15.75" customHeight="1" x14ac:dyDescent="0.25">
      <c r="A48" s="146" t="s">
        <v>1118</v>
      </c>
      <c r="B48" s="147" t="s">
        <v>179</v>
      </c>
      <c r="C48" s="148" t="s">
        <v>764</v>
      </c>
      <c r="D48" s="149"/>
      <c r="E48" s="149"/>
      <c r="F48" s="149"/>
      <c r="G48" s="149"/>
      <c r="H48" s="149"/>
      <c r="I48" s="149"/>
      <c r="J48" s="149"/>
    </row>
    <row r="49" spans="1:29" ht="15.75" customHeight="1" x14ac:dyDescent="0.2">
      <c r="A49" s="150" t="s">
        <v>12</v>
      </c>
      <c r="B49" s="151" t="s">
        <v>10</v>
      </c>
      <c r="C49" s="151" t="s">
        <v>14</v>
      </c>
      <c r="D49" s="151" t="s">
        <v>1092</v>
      </c>
      <c r="E49" s="151" t="s">
        <v>1093</v>
      </c>
      <c r="F49" s="151" t="s">
        <v>20</v>
      </c>
      <c r="G49" s="151" t="s">
        <v>1094</v>
      </c>
      <c r="H49" s="152"/>
      <c r="I49" s="152"/>
      <c r="J49" s="152" t="s">
        <v>1095</v>
      </c>
    </row>
    <row r="50" spans="1:29" ht="15.75" customHeight="1" x14ac:dyDescent="0.2">
      <c r="A50" s="153">
        <v>3671</v>
      </c>
      <c r="B50" s="154" t="s">
        <v>1119</v>
      </c>
      <c r="C50" s="155" t="s">
        <v>171</v>
      </c>
      <c r="D50" s="156">
        <v>1.67</v>
      </c>
      <c r="E50" s="157">
        <v>2.5299999999999998</v>
      </c>
      <c r="F50" s="157">
        <v>0</v>
      </c>
      <c r="G50" s="157">
        <f t="shared" ref="G50:G56" si="20">E50+F50</f>
        <v>2.5299999999999998</v>
      </c>
      <c r="H50" s="158">
        <f t="shared" ref="H50:H56" si="21">E50*D50</f>
        <v>4.2250999999999994</v>
      </c>
      <c r="I50" s="158">
        <f t="shared" ref="I50:I56" si="22">F50*D50</f>
        <v>0</v>
      </c>
      <c r="J50" s="158">
        <f t="shared" ref="J50:J56" si="23">G50*D50</f>
        <v>4.2250999999999994</v>
      </c>
    </row>
    <row r="51" spans="1:29" ht="15.75" customHeight="1" x14ac:dyDescent="0.2">
      <c r="A51" s="153">
        <v>4824</v>
      </c>
      <c r="B51" s="154" t="s">
        <v>1120</v>
      </c>
      <c r="C51" s="155" t="s">
        <v>764</v>
      </c>
      <c r="D51" s="156">
        <v>23.24</v>
      </c>
      <c r="E51" s="157">
        <v>0.43</v>
      </c>
      <c r="F51" s="157">
        <v>0</v>
      </c>
      <c r="G51" s="157">
        <f t="shared" si="20"/>
        <v>0.43</v>
      </c>
      <c r="H51" s="158">
        <f t="shared" si="21"/>
        <v>9.9931999999999999</v>
      </c>
      <c r="I51" s="158">
        <f t="shared" si="22"/>
        <v>0</v>
      </c>
      <c r="J51" s="158">
        <f t="shared" si="23"/>
        <v>9.9931999999999999</v>
      </c>
    </row>
    <row r="52" spans="1:29" ht="15.75" customHeight="1" x14ac:dyDescent="0.2">
      <c r="A52" s="153">
        <v>87298</v>
      </c>
      <c r="B52" s="154" t="s">
        <v>1121</v>
      </c>
      <c r="C52" s="155" t="s">
        <v>1122</v>
      </c>
      <c r="D52" s="156">
        <v>1.66E-2</v>
      </c>
      <c r="E52" s="157">
        <v>469.19</v>
      </c>
      <c r="F52" s="157">
        <v>60.41</v>
      </c>
      <c r="G52" s="157">
        <f t="shared" si="20"/>
        <v>529.6</v>
      </c>
      <c r="H52" s="158">
        <f t="shared" si="21"/>
        <v>7.7885540000000004</v>
      </c>
      <c r="I52" s="158">
        <f t="shared" si="22"/>
        <v>1.0028059999999999</v>
      </c>
      <c r="J52" s="158">
        <f t="shared" si="23"/>
        <v>8.791360000000001</v>
      </c>
    </row>
    <row r="53" spans="1:29" ht="15.75" customHeight="1" x14ac:dyDescent="0.2">
      <c r="A53" s="153">
        <v>88309</v>
      </c>
      <c r="B53" s="154" t="s">
        <v>1123</v>
      </c>
      <c r="C53" s="155" t="s">
        <v>1099</v>
      </c>
      <c r="D53" s="156">
        <v>0.55100000000000005</v>
      </c>
      <c r="E53" s="157">
        <v>6.64</v>
      </c>
      <c r="F53" s="157">
        <v>18.77</v>
      </c>
      <c r="G53" s="157">
        <f t="shared" si="20"/>
        <v>25.41</v>
      </c>
      <c r="H53" s="158">
        <f t="shared" si="21"/>
        <v>3.6586400000000001</v>
      </c>
      <c r="I53" s="158">
        <f t="shared" si="22"/>
        <v>10.342270000000001</v>
      </c>
      <c r="J53" s="158">
        <f t="shared" si="23"/>
        <v>14.000910000000001</v>
      </c>
    </row>
    <row r="54" spans="1:29" ht="15.75" customHeight="1" x14ac:dyDescent="0.2">
      <c r="A54" s="153">
        <v>88316</v>
      </c>
      <c r="B54" s="154" t="s">
        <v>1100</v>
      </c>
      <c r="C54" s="155" t="s">
        <v>1099</v>
      </c>
      <c r="D54" s="156">
        <v>0.27500000000000002</v>
      </c>
      <c r="E54" s="157">
        <v>6.52</v>
      </c>
      <c r="F54" s="157">
        <v>13.26</v>
      </c>
      <c r="G54" s="157">
        <f t="shared" si="20"/>
        <v>19.78</v>
      </c>
      <c r="H54" s="158">
        <f t="shared" si="21"/>
        <v>1.7929999999999999</v>
      </c>
      <c r="I54" s="158">
        <f t="shared" si="22"/>
        <v>3.6465000000000001</v>
      </c>
      <c r="J54" s="158">
        <f t="shared" si="23"/>
        <v>5.4395000000000007</v>
      </c>
    </row>
    <row r="55" spans="1:29" ht="15.75" customHeight="1" x14ac:dyDescent="0.2">
      <c r="A55" s="153">
        <v>95276</v>
      </c>
      <c r="B55" s="154" t="s">
        <v>1124</v>
      </c>
      <c r="C55" s="155" t="s">
        <v>1125</v>
      </c>
      <c r="D55" s="156">
        <v>0.123</v>
      </c>
      <c r="E55" s="157">
        <v>2.99</v>
      </c>
      <c r="F55" s="157">
        <v>0</v>
      </c>
      <c r="G55" s="157">
        <f t="shared" si="20"/>
        <v>2.99</v>
      </c>
      <c r="H55" s="158">
        <f t="shared" si="21"/>
        <v>0.36777000000000004</v>
      </c>
      <c r="I55" s="158">
        <f t="shared" si="22"/>
        <v>0</v>
      </c>
      <c r="J55" s="158">
        <f t="shared" si="23"/>
        <v>0.36777000000000004</v>
      </c>
    </row>
    <row r="56" spans="1:29" ht="15.75" customHeight="1" x14ac:dyDescent="0.2">
      <c r="A56" s="153">
        <v>95277</v>
      </c>
      <c r="B56" s="154" t="s">
        <v>1126</v>
      </c>
      <c r="C56" s="155" t="s">
        <v>1127</v>
      </c>
      <c r="D56" s="156">
        <v>0.42799999999999999</v>
      </c>
      <c r="E56" s="157">
        <v>0.48</v>
      </c>
      <c r="F56" s="157">
        <v>19.78</v>
      </c>
      <c r="G56" s="157">
        <f t="shared" si="20"/>
        <v>20.260000000000002</v>
      </c>
      <c r="H56" s="158">
        <f t="shared" si="21"/>
        <v>0.20543999999999998</v>
      </c>
      <c r="I56" s="158">
        <f t="shared" si="22"/>
        <v>8.46584</v>
      </c>
      <c r="J56" s="158">
        <f t="shared" si="23"/>
        <v>8.6712800000000012</v>
      </c>
    </row>
    <row r="57" spans="1:29" ht="15.75" customHeight="1" x14ac:dyDescent="0.25">
      <c r="A57" s="124"/>
      <c r="B57" s="124"/>
      <c r="C57" s="124"/>
      <c r="D57" s="124"/>
      <c r="E57" s="159"/>
      <c r="F57" s="160"/>
      <c r="G57" s="161" t="s">
        <v>1101</v>
      </c>
      <c r="H57" s="162">
        <f t="shared" ref="H57:J57" si="24">SUM(H50:H54)</f>
        <v>27.458494000000002</v>
      </c>
      <c r="I57" s="162">
        <f t="shared" si="24"/>
        <v>14.991576</v>
      </c>
      <c r="J57" s="162">
        <f t="shared" si="24"/>
        <v>42.450070000000004</v>
      </c>
    </row>
    <row r="58" spans="1:29" ht="15.75" customHeight="1" x14ac:dyDescent="0.2"/>
    <row r="59" spans="1:29" ht="15.75" customHeight="1" x14ac:dyDescent="0.25">
      <c r="A59" s="131" t="s">
        <v>856</v>
      </c>
      <c r="B59" s="132" t="s">
        <v>855</v>
      </c>
      <c r="C59" s="133" t="s">
        <v>14</v>
      </c>
      <c r="D59" s="134"/>
      <c r="E59" s="134"/>
      <c r="F59" s="134"/>
      <c r="G59" s="134"/>
      <c r="H59" s="134"/>
      <c r="I59" s="134"/>
      <c r="J59" s="13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</row>
    <row r="60" spans="1:29" ht="15.75" customHeight="1" x14ac:dyDescent="0.25">
      <c r="A60" s="135" t="s">
        <v>12</v>
      </c>
      <c r="B60" s="136" t="s">
        <v>10</v>
      </c>
      <c r="C60" s="136" t="s">
        <v>14</v>
      </c>
      <c r="D60" s="136" t="s">
        <v>1092</v>
      </c>
      <c r="E60" s="136" t="s">
        <v>1093</v>
      </c>
      <c r="F60" s="136" t="s">
        <v>20</v>
      </c>
      <c r="G60" s="136" t="s">
        <v>1094</v>
      </c>
      <c r="H60" s="135" t="s">
        <v>1128</v>
      </c>
      <c r="I60" s="135" t="s">
        <v>1129</v>
      </c>
      <c r="J60" s="135" t="s">
        <v>1095</v>
      </c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</row>
    <row r="61" spans="1:29" ht="15.75" customHeight="1" x14ac:dyDescent="0.25">
      <c r="A61" s="137">
        <v>20204</v>
      </c>
      <c r="B61" s="138" t="s">
        <v>1130</v>
      </c>
      <c r="C61" s="139" t="s">
        <v>171</v>
      </c>
      <c r="D61" s="139">
        <v>57</v>
      </c>
      <c r="E61" s="141">
        <v>106.95</v>
      </c>
      <c r="F61" s="141">
        <v>0</v>
      </c>
      <c r="G61" s="141">
        <f t="shared" ref="G61:G68" si="25">E61+F61</f>
        <v>106.95</v>
      </c>
      <c r="H61" s="142">
        <f t="shared" ref="H61:H68" si="26">E61*D61</f>
        <v>6096.1500000000005</v>
      </c>
      <c r="I61" s="142">
        <f t="shared" ref="I61:I68" si="27">F61*D61</f>
        <v>0</v>
      </c>
      <c r="J61" s="142">
        <f t="shared" ref="J61:J68" si="28">G61*D61</f>
        <v>6096.1500000000005</v>
      </c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</row>
    <row r="62" spans="1:29" ht="15.75" customHeight="1" x14ac:dyDescent="0.25">
      <c r="A62" s="137">
        <v>10478</v>
      </c>
      <c r="B62" s="138" t="s">
        <v>1131</v>
      </c>
      <c r="C62" s="139" t="s">
        <v>1132</v>
      </c>
      <c r="D62" s="139">
        <v>10</v>
      </c>
      <c r="E62" s="141">
        <v>30.14</v>
      </c>
      <c r="F62" s="141">
        <v>0</v>
      </c>
      <c r="G62" s="141">
        <f t="shared" si="25"/>
        <v>30.14</v>
      </c>
      <c r="H62" s="142">
        <f t="shared" si="26"/>
        <v>301.39999999999998</v>
      </c>
      <c r="I62" s="142">
        <f t="shared" si="27"/>
        <v>0</v>
      </c>
      <c r="J62" s="142">
        <f t="shared" si="28"/>
        <v>301.39999999999998</v>
      </c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</row>
    <row r="63" spans="1:29" ht="15.75" customHeight="1" x14ac:dyDescent="0.25">
      <c r="A63" s="163">
        <v>94963</v>
      </c>
      <c r="B63" s="164" t="s">
        <v>1133</v>
      </c>
      <c r="C63" s="165" t="s">
        <v>158</v>
      </c>
      <c r="D63" s="165">
        <v>0.95</v>
      </c>
      <c r="E63" s="166">
        <v>281.83</v>
      </c>
      <c r="F63" s="166">
        <v>50.95</v>
      </c>
      <c r="G63" s="166">
        <f t="shared" si="25"/>
        <v>332.78</v>
      </c>
      <c r="H63" s="167">
        <f t="shared" si="26"/>
        <v>267.73849999999999</v>
      </c>
      <c r="I63" s="167">
        <f t="shared" si="27"/>
        <v>48.402500000000003</v>
      </c>
      <c r="J63" s="167">
        <f t="shared" si="28"/>
        <v>316.14099999999996</v>
      </c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</row>
    <row r="64" spans="1:29" ht="15.75" customHeight="1" x14ac:dyDescent="0.25">
      <c r="A64" s="163">
        <v>92411</v>
      </c>
      <c r="B64" s="164" t="s">
        <v>1134</v>
      </c>
      <c r="C64" s="165" t="s">
        <v>46</v>
      </c>
      <c r="D64" s="165">
        <v>5.4</v>
      </c>
      <c r="E64" s="166">
        <v>155.11000000000001</v>
      </c>
      <c r="F64" s="166">
        <v>66.510000000000005</v>
      </c>
      <c r="G64" s="166">
        <f t="shared" si="25"/>
        <v>221.62</v>
      </c>
      <c r="H64" s="167">
        <f t="shared" si="26"/>
        <v>837.59400000000016</v>
      </c>
      <c r="I64" s="167">
        <f t="shared" si="27"/>
        <v>359.15400000000005</v>
      </c>
      <c r="J64" s="167">
        <f t="shared" si="28"/>
        <v>1196.748</v>
      </c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</row>
    <row r="65" spans="1:29" ht="15.75" customHeight="1" x14ac:dyDescent="0.25">
      <c r="A65" s="163">
        <v>92777</v>
      </c>
      <c r="B65" s="164" t="s">
        <v>767</v>
      </c>
      <c r="C65" s="165" t="s">
        <v>1096</v>
      </c>
      <c r="D65" s="165">
        <v>86</v>
      </c>
      <c r="E65" s="166">
        <v>13.45</v>
      </c>
      <c r="F65" s="166">
        <v>3.11</v>
      </c>
      <c r="G65" s="166">
        <f t="shared" si="25"/>
        <v>16.559999999999999</v>
      </c>
      <c r="H65" s="167">
        <f t="shared" si="26"/>
        <v>1156.7</v>
      </c>
      <c r="I65" s="167">
        <f t="shared" si="27"/>
        <v>267.45999999999998</v>
      </c>
      <c r="J65" s="167">
        <f t="shared" si="28"/>
        <v>1424.1599999999999</v>
      </c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</row>
    <row r="66" spans="1:29" ht="15.75" customHeight="1" x14ac:dyDescent="0.25">
      <c r="A66" s="163">
        <v>91514</v>
      </c>
      <c r="B66" s="164" t="s">
        <v>1135</v>
      </c>
      <c r="C66" s="165" t="s">
        <v>30</v>
      </c>
      <c r="D66" s="165">
        <v>11.7</v>
      </c>
      <c r="E66" s="166">
        <v>1.83</v>
      </c>
      <c r="F66" s="166">
        <v>4.8</v>
      </c>
      <c r="G66" s="166">
        <f t="shared" si="25"/>
        <v>6.63</v>
      </c>
      <c r="H66" s="167">
        <f t="shared" si="26"/>
        <v>21.410999999999998</v>
      </c>
      <c r="I66" s="167">
        <f t="shared" si="27"/>
        <v>56.16</v>
      </c>
      <c r="J66" s="167">
        <f t="shared" si="28"/>
        <v>77.570999999999998</v>
      </c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</row>
    <row r="67" spans="1:29" ht="15.75" customHeight="1" x14ac:dyDescent="0.25">
      <c r="A67" s="137">
        <v>436</v>
      </c>
      <c r="B67" s="138" t="s">
        <v>1136</v>
      </c>
      <c r="C67" s="139" t="s">
        <v>76</v>
      </c>
      <c r="D67" s="139">
        <v>120</v>
      </c>
      <c r="E67" s="141">
        <v>6.85</v>
      </c>
      <c r="F67" s="141">
        <v>0</v>
      </c>
      <c r="G67" s="141">
        <f t="shared" si="25"/>
        <v>6.85</v>
      </c>
      <c r="H67" s="142">
        <f t="shared" si="26"/>
        <v>822</v>
      </c>
      <c r="I67" s="142">
        <f t="shared" si="27"/>
        <v>0</v>
      </c>
      <c r="J67" s="142">
        <f t="shared" si="28"/>
        <v>822</v>
      </c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</row>
    <row r="68" spans="1:29" ht="15.75" customHeight="1" x14ac:dyDescent="0.25">
      <c r="A68" s="137">
        <v>88309</v>
      </c>
      <c r="B68" s="138" t="s">
        <v>1123</v>
      </c>
      <c r="C68" s="139" t="s">
        <v>1137</v>
      </c>
      <c r="D68" s="139">
        <v>30</v>
      </c>
      <c r="E68" s="141">
        <v>6.64</v>
      </c>
      <c r="F68" s="141">
        <v>18.77</v>
      </c>
      <c r="G68" s="141">
        <f t="shared" si="25"/>
        <v>25.41</v>
      </c>
      <c r="H68" s="142">
        <f t="shared" si="26"/>
        <v>199.2</v>
      </c>
      <c r="I68" s="142">
        <f t="shared" si="27"/>
        <v>563.1</v>
      </c>
      <c r="J68" s="142">
        <f t="shared" si="28"/>
        <v>762.3</v>
      </c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</row>
    <row r="69" spans="1:29" ht="15.75" customHeight="1" x14ac:dyDescent="0.25">
      <c r="A69" s="124"/>
      <c r="B69" s="124"/>
      <c r="C69" s="143"/>
      <c r="D69" s="168" t="s">
        <v>1101</v>
      </c>
      <c r="E69" s="168"/>
      <c r="F69" s="168"/>
      <c r="G69" s="168"/>
      <c r="H69" s="169">
        <f t="shared" ref="H69:J69" si="29">SUM(H61:H68)</f>
        <v>9702.1935000000012</v>
      </c>
      <c r="I69" s="169">
        <f t="shared" si="29"/>
        <v>1294.2764999999999</v>
      </c>
      <c r="J69" s="169">
        <f t="shared" si="29"/>
        <v>10996.47</v>
      </c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</row>
    <row r="70" spans="1:29" ht="15.75" customHeight="1" x14ac:dyDescent="0.2"/>
    <row r="71" spans="1:29" ht="15.75" customHeight="1" x14ac:dyDescent="0.25">
      <c r="A71" s="131" t="s">
        <v>944</v>
      </c>
      <c r="B71" s="132" t="s">
        <v>945</v>
      </c>
      <c r="C71" s="133" t="s">
        <v>46</v>
      </c>
      <c r="D71" s="134"/>
      <c r="E71" s="134"/>
      <c r="F71" s="134"/>
      <c r="G71" s="134"/>
      <c r="H71" s="134"/>
      <c r="I71" s="134"/>
      <c r="J71" s="13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</row>
    <row r="72" spans="1:29" ht="15.75" customHeight="1" x14ac:dyDescent="0.25">
      <c r="A72" s="135" t="s">
        <v>12</v>
      </c>
      <c r="B72" s="136" t="s">
        <v>10</v>
      </c>
      <c r="C72" s="136" t="s">
        <v>14</v>
      </c>
      <c r="D72" s="136" t="s">
        <v>1092</v>
      </c>
      <c r="E72" s="136" t="s">
        <v>1093</v>
      </c>
      <c r="F72" s="136" t="s">
        <v>20</v>
      </c>
      <c r="G72" s="136" t="s">
        <v>1094</v>
      </c>
      <c r="H72" s="135"/>
      <c r="I72" s="135"/>
      <c r="J72" s="135" t="s">
        <v>1095</v>
      </c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</row>
    <row r="73" spans="1:29" ht="15.75" customHeight="1" x14ac:dyDescent="0.25">
      <c r="A73" s="137">
        <v>37586</v>
      </c>
      <c r="B73" s="138" t="s">
        <v>1138</v>
      </c>
      <c r="C73" s="139" t="s">
        <v>1139</v>
      </c>
      <c r="D73" s="139">
        <v>2.4299999999999999E-2</v>
      </c>
      <c r="E73" s="141">
        <v>46.52</v>
      </c>
      <c r="F73" s="141">
        <v>0</v>
      </c>
      <c r="G73" s="141">
        <f t="shared" ref="G73:G83" si="30">E73+F73</f>
        <v>46.52</v>
      </c>
      <c r="H73" s="142">
        <f t="shared" ref="H73:H83" si="31">E73*D73</f>
        <v>1.130436</v>
      </c>
      <c r="I73" s="142">
        <f t="shared" ref="I73:I83" si="32">F73*D73</f>
        <v>0</v>
      </c>
      <c r="J73" s="142">
        <f t="shared" ref="J73:J83" si="33">G73*D73</f>
        <v>1.130436</v>
      </c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</row>
    <row r="74" spans="1:29" ht="15.75" customHeight="1" x14ac:dyDescent="0.25">
      <c r="A74" s="163">
        <v>39417</v>
      </c>
      <c r="B74" s="164" t="s">
        <v>1140</v>
      </c>
      <c r="C74" s="165" t="s">
        <v>1141</v>
      </c>
      <c r="D74" s="165">
        <v>2.1059999999999999</v>
      </c>
      <c r="E74" s="166">
        <v>24.44</v>
      </c>
      <c r="F74" s="166">
        <v>0</v>
      </c>
      <c r="G74" s="166">
        <f t="shared" si="30"/>
        <v>24.44</v>
      </c>
      <c r="H74" s="167">
        <f t="shared" si="31"/>
        <v>51.470640000000003</v>
      </c>
      <c r="I74" s="167">
        <f t="shared" si="32"/>
        <v>0</v>
      </c>
      <c r="J74" s="167">
        <f t="shared" si="33"/>
        <v>51.470640000000003</v>
      </c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</row>
    <row r="75" spans="1:29" ht="15.75" customHeight="1" x14ac:dyDescent="0.25">
      <c r="A75" s="163">
        <v>39419</v>
      </c>
      <c r="B75" s="164" t="s">
        <v>1142</v>
      </c>
      <c r="C75" s="165" t="s">
        <v>171</v>
      </c>
      <c r="D75" s="165">
        <v>0.76</v>
      </c>
      <c r="E75" s="166">
        <v>8.6999999999999993</v>
      </c>
      <c r="F75" s="166">
        <v>0</v>
      </c>
      <c r="G75" s="166">
        <f t="shared" si="30"/>
        <v>8.6999999999999993</v>
      </c>
      <c r="H75" s="167">
        <f t="shared" si="31"/>
        <v>6.6119999999999992</v>
      </c>
      <c r="I75" s="167">
        <f t="shared" si="32"/>
        <v>0</v>
      </c>
      <c r="J75" s="167">
        <f t="shared" si="33"/>
        <v>6.6119999999999992</v>
      </c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</row>
    <row r="76" spans="1:29" ht="15.75" customHeight="1" x14ac:dyDescent="0.25">
      <c r="A76" s="163">
        <v>39422</v>
      </c>
      <c r="B76" s="164" t="s">
        <v>1143</v>
      </c>
      <c r="C76" s="165" t="s">
        <v>171</v>
      </c>
      <c r="D76" s="165">
        <v>1.9910000000000001</v>
      </c>
      <c r="E76" s="166">
        <v>9.8699999999999992</v>
      </c>
      <c r="F76" s="166">
        <v>0</v>
      </c>
      <c r="G76" s="166">
        <f t="shared" si="30"/>
        <v>9.8699999999999992</v>
      </c>
      <c r="H76" s="167">
        <f t="shared" si="31"/>
        <v>19.65117</v>
      </c>
      <c r="I76" s="167">
        <f t="shared" si="32"/>
        <v>0</v>
      </c>
      <c r="J76" s="167">
        <f t="shared" si="33"/>
        <v>19.65117</v>
      </c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  <c r="AA76" s="126"/>
      <c r="AB76" s="126"/>
      <c r="AC76" s="126"/>
    </row>
    <row r="77" spans="1:29" ht="15.75" customHeight="1" x14ac:dyDescent="0.25">
      <c r="A77" s="163">
        <v>39431</v>
      </c>
      <c r="B77" s="164" t="s">
        <v>1144</v>
      </c>
      <c r="C77" s="165" t="s">
        <v>171</v>
      </c>
      <c r="D77" s="165">
        <v>2.5019999999999998</v>
      </c>
      <c r="E77" s="166">
        <v>0.28999999999999998</v>
      </c>
      <c r="F77" s="166">
        <v>0</v>
      </c>
      <c r="G77" s="166">
        <f t="shared" si="30"/>
        <v>0.28999999999999998</v>
      </c>
      <c r="H77" s="167">
        <f t="shared" si="31"/>
        <v>0.72557999999999989</v>
      </c>
      <c r="I77" s="167">
        <f t="shared" si="32"/>
        <v>0</v>
      </c>
      <c r="J77" s="167">
        <f t="shared" si="33"/>
        <v>0.72557999999999989</v>
      </c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</row>
    <row r="78" spans="1:29" ht="15.75" customHeight="1" x14ac:dyDescent="0.25">
      <c r="A78" s="163">
        <v>39432</v>
      </c>
      <c r="B78" s="164" t="s">
        <v>1145</v>
      </c>
      <c r="C78" s="165" t="s">
        <v>171</v>
      </c>
      <c r="D78" s="165">
        <v>0.74</v>
      </c>
      <c r="E78" s="166">
        <v>2.56</v>
      </c>
      <c r="F78" s="166">
        <v>0</v>
      </c>
      <c r="G78" s="166">
        <f t="shared" si="30"/>
        <v>2.56</v>
      </c>
      <c r="H78" s="167">
        <f t="shared" si="31"/>
        <v>1.8944000000000001</v>
      </c>
      <c r="I78" s="167">
        <f t="shared" si="32"/>
        <v>0</v>
      </c>
      <c r="J78" s="167">
        <f t="shared" si="33"/>
        <v>1.8944000000000001</v>
      </c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</row>
    <row r="79" spans="1:29" ht="15.75" customHeight="1" x14ac:dyDescent="0.25">
      <c r="A79" s="163">
        <v>39434</v>
      </c>
      <c r="B79" s="164" t="s">
        <v>1146</v>
      </c>
      <c r="C79" s="165" t="s">
        <v>764</v>
      </c>
      <c r="D79" s="165">
        <v>1.0327</v>
      </c>
      <c r="E79" s="166">
        <v>3.21</v>
      </c>
      <c r="F79" s="166">
        <v>0</v>
      </c>
      <c r="G79" s="166">
        <f t="shared" si="30"/>
        <v>3.21</v>
      </c>
      <c r="H79" s="167">
        <f t="shared" si="31"/>
        <v>3.3149669999999998</v>
      </c>
      <c r="I79" s="167">
        <f t="shared" si="32"/>
        <v>0</v>
      </c>
      <c r="J79" s="167">
        <f t="shared" si="33"/>
        <v>3.3149669999999998</v>
      </c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</row>
    <row r="80" spans="1:29" ht="15.75" customHeight="1" x14ac:dyDescent="0.25">
      <c r="A80" s="163">
        <v>39435</v>
      </c>
      <c r="B80" s="164" t="s">
        <v>1147</v>
      </c>
      <c r="C80" s="165" t="s">
        <v>14</v>
      </c>
      <c r="D80" s="165">
        <v>20</v>
      </c>
      <c r="E80" s="166">
        <v>0.11</v>
      </c>
      <c r="F80" s="166">
        <v>0</v>
      </c>
      <c r="G80" s="166">
        <f t="shared" si="30"/>
        <v>0.11</v>
      </c>
      <c r="H80" s="167">
        <f t="shared" si="31"/>
        <v>2.2000000000000002</v>
      </c>
      <c r="I80" s="167">
        <f t="shared" si="32"/>
        <v>0</v>
      </c>
      <c r="J80" s="167">
        <f t="shared" si="33"/>
        <v>2.2000000000000002</v>
      </c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</row>
    <row r="81" spans="1:29" ht="15.75" customHeight="1" x14ac:dyDescent="0.25">
      <c r="A81" s="163">
        <v>39443</v>
      </c>
      <c r="B81" s="164" t="s">
        <v>1148</v>
      </c>
      <c r="C81" s="165" t="s">
        <v>14</v>
      </c>
      <c r="D81" s="165">
        <v>0.8</v>
      </c>
      <c r="E81" s="166">
        <v>0.27</v>
      </c>
      <c r="F81" s="166">
        <v>0</v>
      </c>
      <c r="G81" s="166">
        <f t="shared" si="30"/>
        <v>0.27</v>
      </c>
      <c r="H81" s="167">
        <f t="shared" si="31"/>
        <v>0.21600000000000003</v>
      </c>
      <c r="I81" s="167">
        <f t="shared" si="32"/>
        <v>0</v>
      </c>
      <c r="J81" s="167">
        <f t="shared" si="33"/>
        <v>0.21600000000000003</v>
      </c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6"/>
    </row>
    <row r="82" spans="1:29" ht="15.75" customHeight="1" x14ac:dyDescent="0.25">
      <c r="A82" s="163">
        <v>88278</v>
      </c>
      <c r="B82" s="164" t="s">
        <v>1098</v>
      </c>
      <c r="C82" s="165" t="s">
        <v>1099</v>
      </c>
      <c r="D82" s="165">
        <v>0.54400000000000004</v>
      </c>
      <c r="E82" s="166">
        <v>5.58</v>
      </c>
      <c r="F82" s="166">
        <v>17.54</v>
      </c>
      <c r="G82" s="166">
        <f t="shared" si="30"/>
        <v>23.119999999999997</v>
      </c>
      <c r="H82" s="167">
        <f t="shared" si="31"/>
        <v>3.0355200000000004</v>
      </c>
      <c r="I82" s="167">
        <f t="shared" si="32"/>
        <v>9.54176</v>
      </c>
      <c r="J82" s="167">
        <f t="shared" si="33"/>
        <v>12.57728</v>
      </c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26"/>
    </row>
    <row r="83" spans="1:29" ht="15.75" customHeight="1" x14ac:dyDescent="0.25">
      <c r="A83" s="170">
        <v>88316</v>
      </c>
      <c r="B83" s="164" t="s">
        <v>1100</v>
      </c>
      <c r="C83" s="165" t="s">
        <v>1099</v>
      </c>
      <c r="D83" s="165">
        <v>0.13600000000000001</v>
      </c>
      <c r="E83" s="166">
        <v>6.52</v>
      </c>
      <c r="F83" s="166">
        <v>13.26</v>
      </c>
      <c r="G83" s="166">
        <f t="shared" si="30"/>
        <v>19.78</v>
      </c>
      <c r="H83" s="167">
        <f t="shared" si="31"/>
        <v>0.88671999999999995</v>
      </c>
      <c r="I83" s="167">
        <f t="shared" si="32"/>
        <v>1.8033600000000001</v>
      </c>
      <c r="J83" s="167">
        <f t="shared" si="33"/>
        <v>2.6900800000000005</v>
      </c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</row>
    <row r="84" spans="1:29" ht="15.75" customHeight="1" x14ac:dyDescent="0.25">
      <c r="A84" s="126"/>
      <c r="B84" s="171"/>
      <c r="C84" s="171"/>
      <c r="D84" s="165" t="s">
        <v>1101</v>
      </c>
      <c r="E84" s="165"/>
      <c r="F84" s="165"/>
      <c r="G84" s="172" t="s">
        <v>1101</v>
      </c>
      <c r="H84" s="173">
        <f t="shared" ref="H84:J84" si="34">SUM(H73:H83)</f>
        <v>91.137433000000001</v>
      </c>
      <c r="I84" s="173">
        <f t="shared" si="34"/>
        <v>11.34512</v>
      </c>
      <c r="J84" s="173">
        <f t="shared" si="34"/>
        <v>102.482553</v>
      </c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</row>
    <row r="85" spans="1:29" ht="15.75" customHeight="1" x14ac:dyDescent="0.2"/>
    <row r="86" spans="1:29" ht="15.75" customHeight="1" x14ac:dyDescent="0.2"/>
    <row r="87" spans="1:29" ht="15.75" customHeight="1" x14ac:dyDescent="0.2"/>
    <row r="88" spans="1:29" ht="15.75" customHeight="1" x14ac:dyDescent="0.25">
      <c r="C88" s="124">
        <v>88</v>
      </c>
    </row>
    <row r="89" spans="1:29" ht="15.75" customHeight="1" x14ac:dyDescent="0.2"/>
    <row r="90" spans="1:29" ht="15.75" customHeight="1" x14ac:dyDescent="0.2"/>
    <row r="91" spans="1:29" ht="15.75" customHeight="1" x14ac:dyDescent="0.2"/>
    <row r="92" spans="1:29" ht="15.75" customHeight="1" x14ac:dyDescent="0.2"/>
    <row r="93" spans="1:29" ht="15.75" customHeight="1" x14ac:dyDescent="0.2"/>
    <row r="94" spans="1:29" ht="15.75" customHeight="1" x14ac:dyDescent="0.2"/>
    <row r="95" spans="1:29" ht="15.75" customHeight="1" x14ac:dyDescent="0.2"/>
    <row r="96" spans="1:29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0">
    <mergeCell ref="D2:G2"/>
    <mergeCell ref="D3:G3"/>
    <mergeCell ref="A10:J10"/>
    <mergeCell ref="A2:A8"/>
    <mergeCell ref="D4:G4"/>
    <mergeCell ref="D5:G5"/>
    <mergeCell ref="D6:G6"/>
    <mergeCell ref="D7:G7"/>
    <mergeCell ref="B2:C8"/>
    <mergeCell ref="D8:G8"/>
  </mergeCells>
  <printOptions horizontalCentered="1"/>
  <pageMargins left="0.25" right="0.25" top="0.75" bottom="0.75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64D79"/>
    <pageSetUpPr fitToPage="1"/>
  </sheetPr>
  <dimension ref="A1:U1000"/>
  <sheetViews>
    <sheetView workbookViewId="0">
      <selection sqref="A1:L1"/>
    </sheetView>
  </sheetViews>
  <sheetFormatPr defaultColWidth="14.42578125" defaultRowHeight="15" customHeight="1" x14ac:dyDescent="0.2"/>
  <cols>
    <col min="1" max="1" width="6.5703125" customWidth="1"/>
    <col min="2" max="2" width="50.5703125" customWidth="1"/>
    <col min="3" max="3" width="19" customWidth="1"/>
    <col min="4" max="6" width="14.42578125" customWidth="1"/>
    <col min="21" max="21" width="7.7109375" customWidth="1"/>
  </cols>
  <sheetData>
    <row r="1" spans="1:21" x14ac:dyDescent="0.25">
      <c r="A1" s="293"/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4"/>
      <c r="M1" s="294"/>
      <c r="N1" s="244"/>
      <c r="O1" s="294"/>
      <c r="P1" s="244"/>
      <c r="Q1" s="123"/>
      <c r="R1" s="123"/>
      <c r="S1" s="123"/>
      <c r="T1" s="123"/>
      <c r="U1" s="174"/>
    </row>
    <row r="2" spans="1:21" x14ac:dyDescent="0.25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24"/>
      <c r="N2" s="124"/>
      <c r="O2" s="124"/>
      <c r="P2" s="124"/>
      <c r="Q2" s="175"/>
      <c r="R2" s="175"/>
      <c r="S2" s="175"/>
      <c r="T2" s="175"/>
      <c r="U2" s="4"/>
    </row>
    <row r="3" spans="1:21" ht="15" customHeight="1" x14ac:dyDescent="0.25">
      <c r="A3" s="175"/>
      <c r="B3" s="258" t="s">
        <v>0</v>
      </c>
      <c r="C3" s="259"/>
      <c r="D3" s="264" t="s">
        <v>1</v>
      </c>
      <c r="E3" s="250"/>
      <c r="F3" s="250"/>
      <c r="G3" s="251"/>
      <c r="H3" s="176"/>
      <c r="I3" s="3"/>
      <c r="J3" s="4"/>
      <c r="K3" s="175"/>
      <c r="L3" s="175"/>
      <c r="M3" s="124"/>
      <c r="N3" s="124"/>
      <c r="O3" s="124"/>
      <c r="P3" s="124"/>
      <c r="Q3" s="175"/>
      <c r="R3" s="175"/>
      <c r="S3" s="175"/>
      <c r="T3" s="175"/>
      <c r="U3" s="4"/>
    </row>
    <row r="4" spans="1:21" ht="15" customHeight="1" x14ac:dyDescent="0.25">
      <c r="A4" s="175"/>
      <c r="B4" s="260"/>
      <c r="C4" s="261"/>
      <c r="D4" s="265" t="s">
        <v>2</v>
      </c>
      <c r="E4" s="250"/>
      <c r="F4" s="250"/>
      <c r="G4" s="251"/>
      <c r="H4" s="176"/>
      <c r="I4" s="4"/>
      <c r="J4" s="4"/>
      <c r="K4" s="175"/>
      <c r="L4" s="175"/>
      <c r="M4" s="124"/>
      <c r="N4" s="124"/>
      <c r="O4" s="124"/>
      <c r="P4" s="124"/>
      <c r="Q4" s="175"/>
      <c r="R4" s="175"/>
      <c r="S4" s="175"/>
      <c r="T4" s="175"/>
      <c r="U4" s="4"/>
    </row>
    <row r="5" spans="1:21" ht="15" customHeight="1" x14ac:dyDescent="0.25">
      <c r="A5" s="175"/>
      <c r="B5" s="260"/>
      <c r="C5" s="261"/>
      <c r="D5" s="249" t="s">
        <v>4</v>
      </c>
      <c r="E5" s="250"/>
      <c r="F5" s="250"/>
      <c r="G5" s="251"/>
      <c r="H5" s="176"/>
      <c r="I5" s="4"/>
      <c r="J5" s="4"/>
      <c r="K5" s="175"/>
      <c r="L5" s="175"/>
      <c r="M5" s="124"/>
      <c r="N5" s="124"/>
      <c r="O5" s="124"/>
      <c r="P5" s="124"/>
      <c r="Q5" s="175"/>
      <c r="R5" s="175"/>
      <c r="S5" s="175"/>
      <c r="T5" s="175"/>
      <c r="U5" s="4"/>
    </row>
    <row r="6" spans="1:21" ht="15" customHeight="1" x14ac:dyDescent="0.25">
      <c r="A6" s="175"/>
      <c r="B6" s="260"/>
      <c r="C6" s="261"/>
      <c r="D6" s="252" t="s">
        <v>5</v>
      </c>
      <c r="E6" s="250"/>
      <c r="F6" s="250"/>
      <c r="G6" s="251"/>
      <c r="H6" s="176"/>
      <c r="K6" s="175"/>
      <c r="L6" s="175"/>
      <c r="M6" s="124"/>
      <c r="N6" s="124"/>
      <c r="O6" s="124"/>
      <c r="P6" s="124"/>
      <c r="Q6" s="175"/>
      <c r="R6" s="175"/>
      <c r="S6" s="175"/>
      <c r="T6" s="175"/>
      <c r="U6" s="4"/>
    </row>
    <row r="7" spans="1:21" ht="15" customHeight="1" x14ac:dyDescent="0.25">
      <c r="A7" s="175"/>
      <c r="B7" s="260"/>
      <c r="C7" s="261"/>
      <c r="D7" s="253"/>
      <c r="E7" s="250"/>
      <c r="F7" s="250"/>
      <c r="G7" s="251"/>
      <c r="H7" s="176"/>
      <c r="K7" s="175"/>
      <c r="L7" s="175"/>
      <c r="M7" s="124"/>
      <c r="N7" s="124"/>
      <c r="O7" s="124"/>
      <c r="P7" s="124"/>
      <c r="Q7" s="175"/>
      <c r="R7" s="175"/>
      <c r="S7" s="175"/>
      <c r="T7" s="175"/>
      <c r="U7" s="4"/>
    </row>
    <row r="8" spans="1:21" ht="15" customHeight="1" x14ac:dyDescent="0.25">
      <c r="A8" s="175"/>
      <c r="B8" s="260"/>
      <c r="C8" s="261"/>
      <c r="D8" s="254" t="s">
        <v>9</v>
      </c>
      <c r="E8" s="250"/>
      <c r="F8" s="250"/>
      <c r="G8" s="251"/>
      <c r="H8" s="176"/>
      <c r="I8" s="4"/>
      <c r="K8" s="175"/>
      <c r="L8" s="175"/>
      <c r="M8" s="124"/>
      <c r="N8" s="124"/>
      <c r="O8" s="124"/>
      <c r="P8" s="124"/>
      <c r="Q8" s="175"/>
      <c r="R8" s="175"/>
      <c r="S8" s="175"/>
      <c r="T8" s="175"/>
      <c r="U8" s="4"/>
    </row>
    <row r="9" spans="1:21" ht="15" customHeight="1" x14ac:dyDescent="0.25">
      <c r="A9" s="175"/>
      <c r="B9" s="262"/>
      <c r="C9" s="263"/>
      <c r="D9" s="273"/>
      <c r="E9" s="250"/>
      <c r="F9" s="250"/>
      <c r="G9" s="251"/>
      <c r="H9" s="176"/>
      <c r="I9" s="4"/>
      <c r="J9" s="4"/>
      <c r="K9" s="175"/>
      <c r="L9" s="175"/>
      <c r="M9" s="124"/>
      <c r="N9" s="124"/>
      <c r="O9" s="124"/>
      <c r="P9" s="124"/>
      <c r="Q9" s="175"/>
      <c r="R9" s="175"/>
      <c r="S9" s="175"/>
      <c r="T9" s="175"/>
      <c r="U9" s="4"/>
    </row>
    <row r="10" spans="1:21" x14ac:dyDescent="0.25">
      <c r="A10" s="175"/>
      <c r="B10" s="2"/>
      <c r="C10" s="4"/>
      <c r="D10" s="175"/>
      <c r="E10" s="175"/>
      <c r="F10" s="175"/>
      <c r="G10" s="175"/>
      <c r="H10" s="175"/>
      <c r="I10" s="4"/>
      <c r="J10" s="4"/>
      <c r="K10" s="175"/>
      <c r="L10" s="175"/>
      <c r="M10" s="177"/>
      <c r="N10" s="177"/>
      <c r="O10" s="177"/>
      <c r="P10" s="177"/>
      <c r="Q10" s="175"/>
      <c r="R10" s="175"/>
      <c r="S10" s="175"/>
      <c r="T10" s="175"/>
      <c r="U10" s="4"/>
    </row>
    <row r="11" spans="1:21" ht="15" customHeight="1" x14ac:dyDescent="0.25">
      <c r="A11" s="296" t="s">
        <v>1149</v>
      </c>
      <c r="B11" s="297"/>
      <c r="C11" s="297"/>
      <c r="D11" s="297"/>
      <c r="E11" s="297"/>
      <c r="F11" s="297"/>
      <c r="G11" s="297"/>
      <c r="H11" s="297"/>
      <c r="I11" s="297"/>
      <c r="J11" s="297"/>
      <c r="K11" s="297"/>
      <c r="L11" s="284"/>
      <c r="M11" s="298"/>
      <c r="N11" s="281"/>
      <c r="O11" s="298"/>
      <c r="P11" s="281"/>
      <c r="Q11" s="123"/>
      <c r="R11" s="123"/>
      <c r="S11" s="123"/>
      <c r="T11" s="123"/>
      <c r="U11" s="174"/>
    </row>
    <row r="12" spans="1:21" ht="15" customHeight="1" x14ac:dyDescent="0.25">
      <c r="A12" s="299"/>
      <c r="B12" s="301" t="s">
        <v>1150</v>
      </c>
      <c r="C12" s="178"/>
      <c r="D12" s="178"/>
      <c r="E12" s="283" t="s">
        <v>1151</v>
      </c>
      <c r="F12" s="284"/>
      <c r="G12" s="283" t="s">
        <v>1152</v>
      </c>
      <c r="H12" s="284"/>
      <c r="I12" s="283" t="s">
        <v>1153</v>
      </c>
      <c r="J12" s="284"/>
      <c r="K12" s="283" t="s">
        <v>1154</v>
      </c>
      <c r="L12" s="284"/>
      <c r="M12" s="295" t="s">
        <v>1155</v>
      </c>
      <c r="N12" s="263"/>
      <c r="O12" s="295" t="s">
        <v>1156</v>
      </c>
      <c r="P12" s="263"/>
      <c r="Q12" s="283" t="s">
        <v>1157</v>
      </c>
      <c r="R12" s="284"/>
      <c r="S12" s="283" t="s">
        <v>1158</v>
      </c>
      <c r="T12" s="284"/>
      <c r="U12" s="4"/>
    </row>
    <row r="13" spans="1:21" x14ac:dyDescent="0.2">
      <c r="A13" s="300"/>
      <c r="B13" s="300"/>
      <c r="C13" s="179" t="s">
        <v>1159</v>
      </c>
      <c r="D13" s="180" t="s">
        <v>1160</v>
      </c>
      <c r="E13" s="181" t="s">
        <v>1160</v>
      </c>
      <c r="F13" s="180" t="s">
        <v>1161</v>
      </c>
      <c r="G13" s="181" t="s">
        <v>1160</v>
      </c>
      <c r="H13" s="180" t="s">
        <v>1161</v>
      </c>
      <c r="I13" s="181" t="s">
        <v>1160</v>
      </c>
      <c r="J13" s="180" t="s">
        <v>1161</v>
      </c>
      <c r="K13" s="181" t="s">
        <v>1160</v>
      </c>
      <c r="L13" s="180" t="s">
        <v>1161</v>
      </c>
      <c r="M13" s="182" t="s">
        <v>1160</v>
      </c>
      <c r="N13" s="183" t="s">
        <v>1161</v>
      </c>
      <c r="O13" s="182" t="s">
        <v>1160</v>
      </c>
      <c r="P13" s="183" t="s">
        <v>1161</v>
      </c>
      <c r="Q13" s="181" t="s">
        <v>1160</v>
      </c>
      <c r="R13" s="180" t="s">
        <v>1161</v>
      </c>
      <c r="S13" s="181" t="s">
        <v>1160</v>
      </c>
      <c r="T13" s="180" t="s">
        <v>1161</v>
      </c>
      <c r="U13" s="4"/>
    </row>
    <row r="14" spans="1:21" ht="15.75" customHeight="1" x14ac:dyDescent="0.25">
      <c r="A14" s="184"/>
      <c r="B14" s="185" t="s">
        <v>1162</v>
      </c>
      <c r="C14" s="186"/>
      <c r="D14" s="187"/>
      <c r="E14" s="188"/>
      <c r="F14" s="189"/>
      <c r="G14" s="190"/>
      <c r="H14" s="191"/>
      <c r="I14" s="190"/>
      <c r="J14" s="191"/>
      <c r="K14" s="192"/>
      <c r="L14" s="191"/>
      <c r="M14" s="193"/>
      <c r="N14" s="194"/>
      <c r="O14" s="193"/>
      <c r="P14" s="194"/>
      <c r="Q14" s="192"/>
      <c r="R14" s="191"/>
      <c r="S14" s="192"/>
      <c r="T14" s="191"/>
      <c r="U14" s="195"/>
    </row>
    <row r="15" spans="1:21" x14ac:dyDescent="0.25">
      <c r="A15" s="196" t="s">
        <v>24</v>
      </c>
      <c r="B15" s="197" t="str">
        <f>VLOOKUP(A15,ORÇAMENTO!A14:M442,2,0)</f>
        <v>SERVIÇOS PRELIMINARES</v>
      </c>
      <c r="C15" s="198">
        <f>VLOOKUP(A15,ORÇAMENTO!$A$14:$M$442,13,0)</f>
        <v>7442.04</v>
      </c>
      <c r="D15" s="199">
        <f t="shared" ref="D15:D29" si="0">C15/$C$42</f>
        <v>6.948283963280618E-3</v>
      </c>
      <c r="E15" s="200">
        <v>1</v>
      </c>
      <c r="F15" s="201">
        <f t="shared" ref="F15:F29" si="1">E15*C15</f>
        <v>7442.04</v>
      </c>
      <c r="G15" s="202"/>
      <c r="H15" s="203">
        <f t="shared" ref="H15:H29" si="2">G15*C15</f>
        <v>0</v>
      </c>
      <c r="I15" s="202"/>
      <c r="J15" s="203">
        <f t="shared" ref="J15:J29" si="3">I15*C15</f>
        <v>0</v>
      </c>
      <c r="K15" s="202"/>
      <c r="L15" s="203">
        <f t="shared" ref="L15:L29" si="4">K15*C15</f>
        <v>0</v>
      </c>
      <c r="M15" s="204"/>
      <c r="N15" s="205">
        <f t="shared" ref="N15:N29" si="5">M15*C15</f>
        <v>0</v>
      </c>
      <c r="O15" s="204"/>
      <c r="P15" s="205">
        <f t="shared" ref="P15:P29" si="6">O15*C15</f>
        <v>0</v>
      </c>
      <c r="Q15" s="202"/>
      <c r="R15" s="203">
        <f t="shared" ref="R15:R29" si="7">Q15*C15</f>
        <v>0</v>
      </c>
      <c r="S15" s="202"/>
      <c r="T15" s="203">
        <f t="shared" ref="T15:T29" si="8">S15*C15</f>
        <v>0</v>
      </c>
      <c r="U15" s="206">
        <f t="shared" ref="U15:U29" si="9">E15+G15+I15+K15+M15+O15+Q15+S15</f>
        <v>1</v>
      </c>
    </row>
    <row r="16" spans="1:21" x14ac:dyDescent="0.25">
      <c r="A16" s="196" t="s">
        <v>40</v>
      </c>
      <c r="B16" s="197" t="str">
        <f>VLOOKUP(A16,ORÇAMENTO!A14:M442,2,0)</f>
        <v>DEMOLIÇÕES E RETIRADAS</v>
      </c>
      <c r="C16" s="198">
        <f>VLOOKUP(A16,ORÇAMENTO!$A$14:$M$442,13,0)</f>
        <v>20564.640000000003</v>
      </c>
      <c r="D16" s="199">
        <f t="shared" si="0"/>
        <v>1.9200240568800913E-2</v>
      </c>
      <c r="E16" s="207">
        <v>0.7</v>
      </c>
      <c r="F16" s="201">
        <f t="shared" si="1"/>
        <v>14395.248000000001</v>
      </c>
      <c r="G16" s="208">
        <v>0.3</v>
      </c>
      <c r="H16" s="203">
        <f t="shared" si="2"/>
        <v>6169.3920000000007</v>
      </c>
      <c r="I16" s="202"/>
      <c r="J16" s="203">
        <f t="shared" si="3"/>
        <v>0</v>
      </c>
      <c r="K16" s="202"/>
      <c r="L16" s="203">
        <f t="shared" si="4"/>
        <v>0</v>
      </c>
      <c r="M16" s="209"/>
      <c r="N16" s="205">
        <f t="shared" si="5"/>
        <v>0</v>
      </c>
      <c r="O16" s="209"/>
      <c r="P16" s="205">
        <f t="shared" si="6"/>
        <v>0</v>
      </c>
      <c r="Q16" s="202"/>
      <c r="R16" s="203">
        <f t="shared" si="7"/>
        <v>0</v>
      </c>
      <c r="S16" s="202"/>
      <c r="T16" s="203">
        <f t="shared" si="8"/>
        <v>0</v>
      </c>
      <c r="U16" s="206">
        <f t="shared" si="9"/>
        <v>1</v>
      </c>
    </row>
    <row r="17" spans="1:21" x14ac:dyDescent="0.25">
      <c r="A17" s="196" t="s">
        <v>89</v>
      </c>
      <c r="B17" s="197" t="str">
        <f>VLOOKUP(A17,ORÇAMENTO!A16:M444,2,0)</f>
        <v>CONSTRUÇÕES E REGULARIZAÇÕES</v>
      </c>
      <c r="C17" s="198">
        <f>VLOOKUP(A17,ORÇAMENTO!$A$14:$M$442,13,0)</f>
        <v>30535.38</v>
      </c>
      <c r="D17" s="199">
        <f t="shared" si="0"/>
        <v>2.8509453209963898E-2</v>
      </c>
      <c r="E17" s="200"/>
      <c r="F17" s="201">
        <f t="shared" si="1"/>
        <v>0</v>
      </c>
      <c r="G17" s="208">
        <v>0.75</v>
      </c>
      <c r="H17" s="203">
        <f t="shared" si="2"/>
        <v>22901.535</v>
      </c>
      <c r="I17" s="202">
        <v>0.25</v>
      </c>
      <c r="J17" s="203">
        <f t="shared" si="3"/>
        <v>7633.8450000000003</v>
      </c>
      <c r="K17" s="202"/>
      <c r="L17" s="203">
        <f t="shared" si="4"/>
        <v>0</v>
      </c>
      <c r="M17" s="204"/>
      <c r="N17" s="205">
        <f t="shared" si="5"/>
        <v>0</v>
      </c>
      <c r="O17" s="204"/>
      <c r="P17" s="205">
        <f t="shared" si="6"/>
        <v>0</v>
      </c>
      <c r="Q17" s="202"/>
      <c r="R17" s="203">
        <f t="shared" si="7"/>
        <v>0</v>
      </c>
      <c r="S17" s="202"/>
      <c r="T17" s="203">
        <f t="shared" si="8"/>
        <v>0</v>
      </c>
      <c r="U17" s="206">
        <f t="shared" si="9"/>
        <v>1</v>
      </c>
    </row>
    <row r="18" spans="1:21" x14ac:dyDescent="0.25">
      <c r="A18" s="196" t="s">
        <v>127</v>
      </c>
      <c r="B18" s="197" t="str">
        <f>VLOOKUP(A18,ORÇAMENTO!A16:M444,2,0)</f>
        <v>DIVISÓRIAS E FORRO</v>
      </c>
      <c r="C18" s="198">
        <f>VLOOKUP(A18,ORÇAMENTO!$A$14:$M$442,13,0)</f>
        <v>65938.17</v>
      </c>
      <c r="D18" s="199">
        <f t="shared" si="0"/>
        <v>6.1563379016918905E-2</v>
      </c>
      <c r="E18" s="202"/>
      <c r="F18" s="201">
        <f t="shared" si="1"/>
        <v>0</v>
      </c>
      <c r="G18" s="207"/>
      <c r="H18" s="203">
        <f t="shared" si="2"/>
        <v>0</v>
      </c>
      <c r="I18" s="202"/>
      <c r="J18" s="203">
        <f t="shared" si="3"/>
        <v>0</v>
      </c>
      <c r="K18" s="202"/>
      <c r="L18" s="203">
        <f t="shared" si="4"/>
        <v>0</v>
      </c>
      <c r="M18" s="209">
        <v>1</v>
      </c>
      <c r="N18" s="205">
        <f t="shared" si="5"/>
        <v>65938.17</v>
      </c>
      <c r="O18" s="209"/>
      <c r="P18" s="205">
        <f t="shared" si="6"/>
        <v>0</v>
      </c>
      <c r="Q18" s="202"/>
      <c r="R18" s="203">
        <f t="shared" si="7"/>
        <v>0</v>
      </c>
      <c r="S18" s="202"/>
      <c r="T18" s="203">
        <f t="shared" si="8"/>
        <v>0</v>
      </c>
      <c r="U18" s="206">
        <f t="shared" si="9"/>
        <v>1</v>
      </c>
    </row>
    <row r="19" spans="1:21" x14ac:dyDescent="0.25">
      <c r="A19" s="196" t="s">
        <v>148</v>
      </c>
      <c r="B19" s="197" t="str">
        <f>VLOOKUP(A19,ORÇAMENTO!A18:M446,2,0)</f>
        <v>PISOS E REVESTIMENTOS</v>
      </c>
      <c r="C19" s="198">
        <f>VLOOKUP(A19,ORÇAMENTO!$A$14:$M$442,13,0)</f>
        <v>71519.28</v>
      </c>
      <c r="D19" s="199">
        <f t="shared" si="0"/>
        <v>6.6774199855063429E-2</v>
      </c>
      <c r="E19" s="207"/>
      <c r="F19" s="201">
        <f t="shared" si="1"/>
        <v>0</v>
      </c>
      <c r="G19" s="208"/>
      <c r="H19" s="203">
        <f t="shared" si="2"/>
        <v>0</v>
      </c>
      <c r="I19" s="202"/>
      <c r="J19" s="203">
        <f t="shared" si="3"/>
        <v>0</v>
      </c>
      <c r="K19" s="202">
        <v>0.75</v>
      </c>
      <c r="L19" s="203">
        <f t="shared" si="4"/>
        <v>53639.46</v>
      </c>
      <c r="M19" s="204">
        <v>0.25</v>
      </c>
      <c r="N19" s="205">
        <f t="shared" si="5"/>
        <v>17879.82</v>
      </c>
      <c r="O19" s="204"/>
      <c r="P19" s="205">
        <f t="shared" si="6"/>
        <v>0</v>
      </c>
      <c r="Q19" s="202"/>
      <c r="R19" s="203">
        <f t="shared" si="7"/>
        <v>0</v>
      </c>
      <c r="S19" s="202"/>
      <c r="T19" s="203">
        <f t="shared" si="8"/>
        <v>0</v>
      </c>
      <c r="U19" s="206">
        <f t="shared" si="9"/>
        <v>1</v>
      </c>
    </row>
    <row r="20" spans="1:21" x14ac:dyDescent="0.25">
      <c r="A20" s="196" t="s">
        <v>190</v>
      </c>
      <c r="B20" s="197" t="str">
        <f>VLOOKUP(A20,ORÇAMENTO!A18:M446,2,0)</f>
        <v>ESQUADRIAS</v>
      </c>
      <c r="C20" s="198">
        <f>VLOOKUP(A20,ORÇAMENTO!$A$14:$M$442,13,0)</f>
        <v>192105.01</v>
      </c>
      <c r="D20" s="199">
        <f t="shared" si="0"/>
        <v>0.17935944448684271</v>
      </c>
      <c r="E20" s="202"/>
      <c r="F20" s="201">
        <f t="shared" si="1"/>
        <v>0</v>
      </c>
      <c r="G20" s="207"/>
      <c r="H20" s="203">
        <f t="shared" si="2"/>
        <v>0</v>
      </c>
      <c r="I20" s="202"/>
      <c r="J20" s="203">
        <f t="shared" si="3"/>
        <v>0</v>
      </c>
      <c r="K20" s="202"/>
      <c r="L20" s="203">
        <f t="shared" si="4"/>
        <v>0</v>
      </c>
      <c r="M20" s="210">
        <v>0.75</v>
      </c>
      <c r="N20" s="205">
        <f t="shared" si="5"/>
        <v>144078.75750000001</v>
      </c>
      <c r="O20" s="210">
        <v>0.25</v>
      </c>
      <c r="P20" s="205">
        <f t="shared" si="6"/>
        <v>48026.252500000002</v>
      </c>
      <c r="Q20" s="202"/>
      <c r="R20" s="203">
        <f t="shared" si="7"/>
        <v>0</v>
      </c>
      <c r="S20" s="202"/>
      <c r="T20" s="203">
        <f t="shared" si="8"/>
        <v>0</v>
      </c>
      <c r="U20" s="206">
        <f t="shared" si="9"/>
        <v>1</v>
      </c>
    </row>
    <row r="21" spans="1:21" ht="15.75" customHeight="1" x14ac:dyDescent="0.25">
      <c r="A21" s="196" t="s">
        <v>241</v>
      </c>
      <c r="B21" s="197" t="str">
        <f>VLOOKUP(A21,ORÇAMENTO!A20:M448,2,0)</f>
        <v>PINTURAS</v>
      </c>
      <c r="C21" s="198">
        <f>VLOOKUP(A21,ORÇAMENTO!$A$14:$M$442,13,0)</f>
        <v>31608.55</v>
      </c>
      <c r="D21" s="199">
        <f t="shared" si="0"/>
        <v>2.9511421742902964E-2</v>
      </c>
      <c r="E21" s="202"/>
      <c r="F21" s="201">
        <f t="shared" si="1"/>
        <v>0</v>
      </c>
      <c r="G21" s="207"/>
      <c r="H21" s="203">
        <f t="shared" si="2"/>
        <v>0</v>
      </c>
      <c r="I21" s="202"/>
      <c r="J21" s="203">
        <f t="shared" si="3"/>
        <v>0</v>
      </c>
      <c r="K21" s="202"/>
      <c r="L21" s="203">
        <f t="shared" si="4"/>
        <v>0</v>
      </c>
      <c r="M21" s="204"/>
      <c r="N21" s="205">
        <f t="shared" si="5"/>
        <v>0</v>
      </c>
      <c r="O21" s="204"/>
      <c r="P21" s="205">
        <f t="shared" si="6"/>
        <v>0</v>
      </c>
      <c r="Q21" s="202">
        <v>0.75</v>
      </c>
      <c r="R21" s="203">
        <f t="shared" si="7"/>
        <v>23706.412499999999</v>
      </c>
      <c r="S21" s="202">
        <v>0.25</v>
      </c>
      <c r="T21" s="203">
        <f t="shared" si="8"/>
        <v>7902.1374999999998</v>
      </c>
      <c r="U21" s="206">
        <f t="shared" si="9"/>
        <v>1</v>
      </c>
    </row>
    <row r="22" spans="1:21" ht="15.75" customHeight="1" x14ac:dyDescent="0.25">
      <c r="A22" s="196" t="s">
        <v>260</v>
      </c>
      <c r="B22" s="197" t="str">
        <f>VLOOKUP(A22,ORÇAMENTO!A20:M448,2,0)</f>
        <v>BANCADAS</v>
      </c>
      <c r="C22" s="198">
        <f>VLOOKUP(A22,ORÇAMENTO!$A$14:$M$442,13,0)</f>
        <v>34819.39</v>
      </c>
      <c r="D22" s="199">
        <f t="shared" si="0"/>
        <v>3.2509232569055461E-2</v>
      </c>
      <c r="E22" s="202"/>
      <c r="F22" s="201">
        <f t="shared" si="1"/>
        <v>0</v>
      </c>
      <c r="G22" s="207"/>
      <c r="H22" s="203">
        <f t="shared" si="2"/>
        <v>0</v>
      </c>
      <c r="I22" s="202">
        <v>1</v>
      </c>
      <c r="J22" s="203">
        <f t="shared" si="3"/>
        <v>34819.39</v>
      </c>
      <c r="K22" s="202"/>
      <c r="L22" s="203">
        <f t="shared" si="4"/>
        <v>0</v>
      </c>
      <c r="M22" s="209"/>
      <c r="N22" s="205">
        <f t="shared" si="5"/>
        <v>0</v>
      </c>
      <c r="O22" s="209"/>
      <c r="P22" s="205">
        <f t="shared" si="6"/>
        <v>0</v>
      </c>
      <c r="Q22" s="202"/>
      <c r="R22" s="203">
        <f t="shared" si="7"/>
        <v>0</v>
      </c>
      <c r="S22" s="202"/>
      <c r="T22" s="203">
        <f t="shared" si="8"/>
        <v>0</v>
      </c>
      <c r="U22" s="206">
        <f t="shared" si="9"/>
        <v>1</v>
      </c>
    </row>
    <row r="23" spans="1:21" ht="15.75" customHeight="1" x14ac:dyDescent="0.25">
      <c r="A23" s="196" t="s">
        <v>289</v>
      </c>
      <c r="B23" s="197" t="str">
        <f>VLOOKUP(A23,ORÇAMENTO!A22:M450,2,0)</f>
        <v>INST. ELÉTRICA</v>
      </c>
      <c r="C23" s="198">
        <f>VLOOKUP(A23,ORÇAMENTO!$A$14:$M$442,13,0)</f>
        <v>148423.06999999992</v>
      </c>
      <c r="D23" s="199">
        <f t="shared" si="0"/>
        <v>0.13857566434228735</v>
      </c>
      <c r="E23" s="202"/>
      <c r="F23" s="201">
        <f t="shared" si="1"/>
        <v>0</v>
      </c>
      <c r="G23" s="202"/>
      <c r="H23" s="203">
        <f t="shared" si="2"/>
        <v>0</v>
      </c>
      <c r="I23" s="200"/>
      <c r="J23" s="203">
        <f t="shared" si="3"/>
        <v>0</v>
      </c>
      <c r="K23" s="207"/>
      <c r="L23" s="203">
        <f t="shared" si="4"/>
        <v>0</v>
      </c>
      <c r="M23" s="211"/>
      <c r="N23" s="205">
        <f t="shared" si="5"/>
        <v>0</v>
      </c>
      <c r="O23" s="211">
        <v>0.5</v>
      </c>
      <c r="P23" s="205">
        <f t="shared" si="6"/>
        <v>74211.53499999996</v>
      </c>
      <c r="Q23" s="207">
        <v>0.5</v>
      </c>
      <c r="R23" s="203">
        <f t="shared" si="7"/>
        <v>74211.53499999996</v>
      </c>
      <c r="S23" s="207"/>
      <c r="T23" s="203">
        <f t="shared" si="8"/>
        <v>0</v>
      </c>
      <c r="U23" s="206">
        <f t="shared" si="9"/>
        <v>1</v>
      </c>
    </row>
    <row r="24" spans="1:21" ht="15.75" customHeight="1" x14ac:dyDescent="0.25">
      <c r="A24" s="196" t="s">
        <v>477</v>
      </c>
      <c r="B24" s="197" t="str">
        <f>VLOOKUP(A24,ORÇAMENTO!A22:M450,2,0)</f>
        <v>INST. HIDROSSANITÁRIAS E GÁS</v>
      </c>
      <c r="C24" s="198">
        <f>VLOOKUP(A24,ORÇAMENTO!$A$14:$M$442,13,0)</f>
        <v>87309.280000000042</v>
      </c>
      <c r="D24" s="199">
        <f t="shared" si="0"/>
        <v>8.1516582828038753E-2</v>
      </c>
      <c r="E24" s="202"/>
      <c r="F24" s="201">
        <f t="shared" si="1"/>
        <v>0</v>
      </c>
      <c r="G24" s="202">
        <v>0.5</v>
      </c>
      <c r="H24" s="203">
        <f t="shared" si="2"/>
        <v>43654.640000000021</v>
      </c>
      <c r="I24" s="202">
        <v>0.25</v>
      </c>
      <c r="J24" s="203">
        <f t="shared" si="3"/>
        <v>21827.320000000011</v>
      </c>
      <c r="K24" s="207"/>
      <c r="L24" s="203">
        <f t="shared" si="4"/>
        <v>0</v>
      </c>
      <c r="M24" s="212"/>
      <c r="N24" s="205">
        <f t="shared" si="5"/>
        <v>0</v>
      </c>
      <c r="O24" s="212"/>
      <c r="P24" s="205">
        <f t="shared" si="6"/>
        <v>0</v>
      </c>
      <c r="Q24" s="207"/>
      <c r="R24" s="203">
        <f t="shared" si="7"/>
        <v>0</v>
      </c>
      <c r="S24" s="207">
        <v>0.25</v>
      </c>
      <c r="T24" s="203">
        <f t="shared" si="8"/>
        <v>21827.320000000011</v>
      </c>
      <c r="U24" s="206">
        <f t="shared" si="9"/>
        <v>1</v>
      </c>
    </row>
    <row r="25" spans="1:21" ht="15.75" customHeight="1" x14ac:dyDescent="0.25">
      <c r="A25" s="196" t="s">
        <v>747</v>
      </c>
      <c r="B25" s="197" t="str">
        <f>VLOOKUP(A25,ORÇAMENTO!A24:M452,2,0)</f>
        <v>ESTRUTURA E COBERTURA</v>
      </c>
      <c r="C25" s="198">
        <f>VLOOKUP(A25,ORÇAMENTO!$A$14:$M$442,13,0)</f>
        <v>155262.64000000001</v>
      </c>
      <c r="D25" s="199">
        <f t="shared" si="0"/>
        <v>0.14496145030241869</v>
      </c>
      <c r="E25" s="202">
        <v>0.25</v>
      </c>
      <c r="F25" s="201">
        <f t="shared" si="1"/>
        <v>38815.660000000003</v>
      </c>
      <c r="G25" s="207">
        <v>0.2</v>
      </c>
      <c r="H25" s="203">
        <f t="shared" si="2"/>
        <v>31052.528000000006</v>
      </c>
      <c r="I25" s="202">
        <v>0.3</v>
      </c>
      <c r="J25" s="203">
        <f t="shared" si="3"/>
        <v>46578.792000000001</v>
      </c>
      <c r="K25" s="202"/>
      <c r="L25" s="203">
        <f t="shared" si="4"/>
        <v>0</v>
      </c>
      <c r="M25" s="204"/>
      <c r="N25" s="205">
        <f t="shared" si="5"/>
        <v>0</v>
      </c>
      <c r="O25" s="204"/>
      <c r="P25" s="205">
        <f t="shared" si="6"/>
        <v>0</v>
      </c>
      <c r="Q25" s="202"/>
      <c r="R25" s="203">
        <f t="shared" si="7"/>
        <v>0</v>
      </c>
      <c r="S25" s="202">
        <v>0.25</v>
      </c>
      <c r="T25" s="203">
        <f t="shared" si="8"/>
        <v>38815.660000000003</v>
      </c>
      <c r="U25" s="206">
        <f t="shared" si="9"/>
        <v>1</v>
      </c>
    </row>
    <row r="26" spans="1:21" ht="15.75" customHeight="1" x14ac:dyDescent="0.25">
      <c r="A26" s="196" t="s">
        <v>812</v>
      </c>
      <c r="B26" s="197" t="str">
        <f>VLOOKUP(A26,ORÇAMENTO!A24:M452,2,0)</f>
        <v>INST. PREVENÇÃO INCÊNDIO</v>
      </c>
      <c r="C26" s="198">
        <f>VLOOKUP(A26,ORÇAMENTO!$A$14:$M$442,13,0)</f>
        <v>2076.3199999999997</v>
      </c>
      <c r="D26" s="199">
        <f t="shared" si="0"/>
        <v>1.9385626734925922E-3</v>
      </c>
      <c r="E26" s="202"/>
      <c r="F26" s="201">
        <f t="shared" si="1"/>
        <v>0</v>
      </c>
      <c r="G26" s="202"/>
      <c r="H26" s="203">
        <f t="shared" si="2"/>
        <v>0</v>
      </c>
      <c r="I26" s="200"/>
      <c r="J26" s="203">
        <f t="shared" si="3"/>
        <v>0</v>
      </c>
      <c r="K26" s="207"/>
      <c r="L26" s="203">
        <f t="shared" si="4"/>
        <v>0</v>
      </c>
      <c r="M26" s="212"/>
      <c r="N26" s="205">
        <f t="shared" si="5"/>
        <v>0</v>
      </c>
      <c r="O26" s="212"/>
      <c r="P26" s="205">
        <f t="shared" si="6"/>
        <v>0</v>
      </c>
      <c r="Q26" s="207"/>
      <c r="R26" s="203">
        <f t="shared" si="7"/>
        <v>0</v>
      </c>
      <c r="S26" s="207">
        <v>1</v>
      </c>
      <c r="T26" s="203">
        <f t="shared" si="8"/>
        <v>2076.3199999999997</v>
      </c>
      <c r="U26" s="206">
        <f t="shared" si="9"/>
        <v>1</v>
      </c>
    </row>
    <row r="27" spans="1:21" ht="15.75" customHeight="1" x14ac:dyDescent="0.25">
      <c r="A27" s="196" t="s">
        <v>830</v>
      </c>
      <c r="B27" s="197" t="str">
        <f>VLOOKUP(A27,ORÇAMENTO!A26:M454,2,0)</f>
        <v>PÁTIO E PAISAGISMO</v>
      </c>
      <c r="C27" s="198">
        <f>VLOOKUP(A27,ORÇAMENTO!$A$14:$M$442,13,0)</f>
        <v>53311.64</v>
      </c>
      <c r="D27" s="199">
        <f t="shared" si="0"/>
        <v>4.9774579721177194E-2</v>
      </c>
      <c r="E27" s="202"/>
      <c r="F27" s="201">
        <f t="shared" si="1"/>
        <v>0</v>
      </c>
      <c r="G27" s="202"/>
      <c r="H27" s="203">
        <f t="shared" si="2"/>
        <v>0</v>
      </c>
      <c r="I27" s="202"/>
      <c r="J27" s="203">
        <f t="shared" si="3"/>
        <v>0</v>
      </c>
      <c r="K27" s="207"/>
      <c r="L27" s="203">
        <f t="shared" si="4"/>
        <v>0</v>
      </c>
      <c r="M27" s="211"/>
      <c r="N27" s="205">
        <f t="shared" si="5"/>
        <v>0</v>
      </c>
      <c r="O27" s="211"/>
      <c r="P27" s="205">
        <f t="shared" si="6"/>
        <v>0</v>
      </c>
      <c r="Q27" s="207">
        <v>0.25</v>
      </c>
      <c r="R27" s="203">
        <f t="shared" si="7"/>
        <v>13327.91</v>
      </c>
      <c r="S27" s="207">
        <v>0.75</v>
      </c>
      <c r="T27" s="203">
        <f t="shared" si="8"/>
        <v>39983.729999999996</v>
      </c>
      <c r="U27" s="206">
        <f t="shared" si="9"/>
        <v>1</v>
      </c>
    </row>
    <row r="28" spans="1:21" ht="15.75" customHeight="1" x14ac:dyDescent="0.25">
      <c r="A28" s="196" t="s">
        <v>866</v>
      </c>
      <c r="B28" s="197" t="str">
        <f>VLOOKUP(A28,ORÇAMENTO!A26:M454,2,0)</f>
        <v xml:space="preserve">PASSARELA </v>
      </c>
      <c r="C28" s="198">
        <f>VLOOKUP(A28,ORÇAMENTO!$A$14:$M$442,13,0)</f>
        <v>25116.89</v>
      </c>
      <c r="D28" s="199">
        <f t="shared" si="0"/>
        <v>2.3450463044337753E-2</v>
      </c>
      <c r="E28" s="202"/>
      <c r="F28" s="201">
        <f t="shared" si="1"/>
        <v>0</v>
      </c>
      <c r="G28" s="202"/>
      <c r="H28" s="203">
        <f t="shared" si="2"/>
        <v>0</v>
      </c>
      <c r="I28" s="202"/>
      <c r="J28" s="203">
        <f t="shared" si="3"/>
        <v>0</v>
      </c>
      <c r="K28" s="207"/>
      <c r="L28" s="203">
        <f t="shared" si="4"/>
        <v>0</v>
      </c>
      <c r="M28" s="211"/>
      <c r="N28" s="205">
        <f t="shared" si="5"/>
        <v>0</v>
      </c>
      <c r="O28" s="211">
        <v>1</v>
      </c>
      <c r="P28" s="205">
        <f t="shared" si="6"/>
        <v>25116.89</v>
      </c>
      <c r="Q28" s="207"/>
      <c r="R28" s="203">
        <f t="shared" si="7"/>
        <v>0</v>
      </c>
      <c r="S28" s="207"/>
      <c r="T28" s="203">
        <f t="shared" si="8"/>
        <v>0</v>
      </c>
      <c r="U28" s="206">
        <f t="shared" si="9"/>
        <v>1</v>
      </c>
    </row>
    <row r="29" spans="1:21" ht="15.75" customHeight="1" x14ac:dyDescent="0.25">
      <c r="A29" s="196" t="s">
        <v>885</v>
      </c>
      <c r="B29" s="197" t="str">
        <f>VLOOKUP(A29,ORÇAMENTO!A28:M456,2,0)</f>
        <v>FINALIZAÇÕES, LIMPEZA E RCC</v>
      </c>
      <c r="C29" s="198">
        <f>VLOOKUP(A29,ORÇAMENTO!$A$14:$M$442,13,0)</f>
        <v>3775.49</v>
      </c>
      <c r="D29" s="199">
        <f t="shared" si="0"/>
        <v>3.5249980678048413E-3</v>
      </c>
      <c r="E29" s="202">
        <v>0.5</v>
      </c>
      <c r="F29" s="201">
        <f t="shared" si="1"/>
        <v>1887.7449999999999</v>
      </c>
      <c r="G29" s="202">
        <v>0.05</v>
      </c>
      <c r="H29" s="203">
        <f t="shared" si="2"/>
        <v>188.77449999999999</v>
      </c>
      <c r="I29" s="202">
        <v>0.05</v>
      </c>
      <c r="J29" s="203">
        <f t="shared" si="3"/>
        <v>188.77449999999999</v>
      </c>
      <c r="K29" s="207">
        <v>0.05</v>
      </c>
      <c r="L29" s="203">
        <f t="shared" si="4"/>
        <v>188.77449999999999</v>
      </c>
      <c r="M29" s="211">
        <v>0.05</v>
      </c>
      <c r="N29" s="205">
        <f t="shared" si="5"/>
        <v>188.77449999999999</v>
      </c>
      <c r="O29" s="211">
        <v>0.05</v>
      </c>
      <c r="P29" s="205">
        <f t="shared" si="6"/>
        <v>188.77449999999999</v>
      </c>
      <c r="Q29" s="207">
        <v>0.05</v>
      </c>
      <c r="R29" s="203">
        <f t="shared" si="7"/>
        <v>188.77449999999999</v>
      </c>
      <c r="S29" s="207">
        <v>0.2</v>
      </c>
      <c r="T29" s="203">
        <f t="shared" si="8"/>
        <v>755.09799999999996</v>
      </c>
      <c r="U29" s="206">
        <f t="shared" si="9"/>
        <v>1.0000000000000002</v>
      </c>
    </row>
    <row r="30" spans="1:21" ht="15.75" customHeight="1" x14ac:dyDescent="0.25">
      <c r="A30" s="184"/>
      <c r="B30" s="185"/>
      <c r="C30" s="213"/>
      <c r="D30" s="187"/>
      <c r="E30" s="214"/>
      <c r="F30" s="215"/>
      <c r="G30" s="192"/>
      <c r="H30" s="216"/>
      <c r="I30" s="192"/>
      <c r="J30" s="216"/>
      <c r="K30" s="192"/>
      <c r="L30" s="216"/>
      <c r="M30" s="193"/>
      <c r="N30" s="217"/>
      <c r="O30" s="193"/>
      <c r="P30" s="217"/>
      <c r="Q30" s="192"/>
      <c r="R30" s="216"/>
      <c r="S30" s="192"/>
      <c r="T30" s="216"/>
      <c r="U30" s="218"/>
    </row>
    <row r="31" spans="1:21" ht="15.75" customHeight="1" x14ac:dyDescent="0.25">
      <c r="A31" s="196" t="s">
        <v>900</v>
      </c>
      <c r="B31" s="197" t="str">
        <f>VLOOKUP(A31,ORÇAMENTO!A30:M458,2,0)</f>
        <v>DEMOLIÇÕES E RETIRADAS</v>
      </c>
      <c r="C31" s="198">
        <f>VLOOKUP(A31,ORÇAMENTO!$A$14:$M$442,13,0)</f>
        <v>3917.3500000000004</v>
      </c>
      <c r="D31" s="199">
        <f t="shared" ref="D31:D42" si="10">C31/$C$42</f>
        <v>3.6574461012783234E-3</v>
      </c>
      <c r="E31" s="200">
        <v>1</v>
      </c>
      <c r="F31" s="201">
        <f t="shared" ref="F31:F41" si="11">E31*C31</f>
        <v>3917.3500000000004</v>
      </c>
      <c r="G31" s="202"/>
      <c r="H31" s="203">
        <f t="shared" ref="H31:H41" si="12">G31*C31</f>
        <v>0</v>
      </c>
      <c r="I31" s="202"/>
      <c r="J31" s="203">
        <f t="shared" ref="J31:J41" si="13">I31*C31</f>
        <v>0</v>
      </c>
      <c r="K31" s="202"/>
      <c r="L31" s="203">
        <f t="shared" ref="L31:L41" si="14">K31*C31</f>
        <v>0</v>
      </c>
      <c r="M31" s="204"/>
      <c r="N31" s="205">
        <f t="shared" ref="N31:N41" si="15">M31*C31</f>
        <v>0</v>
      </c>
      <c r="O31" s="204"/>
      <c r="P31" s="205">
        <f t="shared" ref="P31:P41" si="16">O31*C31</f>
        <v>0</v>
      </c>
      <c r="Q31" s="202"/>
      <c r="R31" s="203">
        <f t="shared" ref="R31:R41" si="17">Q31*C31</f>
        <v>0</v>
      </c>
      <c r="S31" s="202"/>
      <c r="T31" s="203">
        <f t="shared" ref="T31:T41" si="18">S31*C31</f>
        <v>0</v>
      </c>
      <c r="U31" s="206">
        <f t="shared" ref="U31:U42" si="19">E31+G31+I31+K31+M31+O31+Q31+S31</f>
        <v>1</v>
      </c>
    </row>
    <row r="32" spans="1:21" ht="15.75" customHeight="1" x14ac:dyDescent="0.25">
      <c r="A32" s="196" t="s">
        <v>910</v>
      </c>
      <c r="B32" s="197" t="str">
        <f>VLOOKUP(A32,ORÇAMENTO!A30:M458,2,0)</f>
        <v>CONSTRUÇÕES E REGULARIZAÇÕES</v>
      </c>
      <c r="C32" s="198">
        <f>VLOOKUP(A32,ORÇAMENTO!$A$14:$M$442,13,0)</f>
        <v>3199.81</v>
      </c>
      <c r="D32" s="199">
        <f t="shared" si="10"/>
        <v>2.987512632093479E-3</v>
      </c>
      <c r="E32" s="200"/>
      <c r="F32" s="201">
        <f t="shared" si="11"/>
        <v>0</v>
      </c>
      <c r="G32" s="202">
        <v>0.5</v>
      </c>
      <c r="H32" s="203">
        <f t="shared" si="12"/>
        <v>1599.905</v>
      </c>
      <c r="I32" s="202">
        <v>0.5</v>
      </c>
      <c r="J32" s="203">
        <f t="shared" si="13"/>
        <v>1599.905</v>
      </c>
      <c r="K32" s="202"/>
      <c r="L32" s="203">
        <f t="shared" si="14"/>
        <v>0</v>
      </c>
      <c r="M32" s="209"/>
      <c r="N32" s="205">
        <f t="shared" si="15"/>
        <v>0</v>
      </c>
      <c r="O32" s="209"/>
      <c r="P32" s="205">
        <f t="shared" si="16"/>
        <v>0</v>
      </c>
      <c r="Q32" s="202"/>
      <c r="R32" s="203">
        <f t="shared" si="17"/>
        <v>0</v>
      </c>
      <c r="S32" s="202"/>
      <c r="T32" s="203">
        <f t="shared" si="18"/>
        <v>0</v>
      </c>
      <c r="U32" s="206">
        <f t="shared" si="19"/>
        <v>1</v>
      </c>
    </row>
    <row r="33" spans="1:21" ht="15.75" customHeight="1" x14ac:dyDescent="0.25">
      <c r="A33" s="196" t="s">
        <v>939</v>
      </c>
      <c r="B33" s="197" t="str">
        <f>VLOOKUP(A33,ORÇAMENTO!A32:M460,2,0)</f>
        <v>DIVISÓRIAS E FORRO</v>
      </c>
      <c r="C33" s="198">
        <f>VLOOKUP(A33,ORÇAMENTO!$A$14:$M$442,13,0)</f>
        <v>19103.09</v>
      </c>
      <c r="D33" s="199">
        <f t="shared" si="10"/>
        <v>1.7835659831995844E-2</v>
      </c>
      <c r="E33" s="200"/>
      <c r="F33" s="201">
        <f t="shared" si="11"/>
        <v>0</v>
      </c>
      <c r="G33" s="202"/>
      <c r="H33" s="203">
        <f t="shared" si="12"/>
        <v>0</v>
      </c>
      <c r="I33" s="202"/>
      <c r="J33" s="203">
        <f t="shared" si="13"/>
        <v>0</v>
      </c>
      <c r="K33" s="202"/>
      <c r="L33" s="203">
        <f t="shared" si="14"/>
        <v>0</v>
      </c>
      <c r="M33" s="204">
        <v>1</v>
      </c>
      <c r="N33" s="205">
        <f t="shared" si="15"/>
        <v>19103.09</v>
      </c>
      <c r="O33" s="204"/>
      <c r="P33" s="205">
        <f t="shared" si="16"/>
        <v>0</v>
      </c>
      <c r="Q33" s="202"/>
      <c r="R33" s="203">
        <f t="shared" si="17"/>
        <v>0</v>
      </c>
      <c r="S33" s="202"/>
      <c r="T33" s="203">
        <f t="shared" si="18"/>
        <v>0</v>
      </c>
      <c r="U33" s="206">
        <f t="shared" si="19"/>
        <v>1</v>
      </c>
    </row>
    <row r="34" spans="1:21" ht="15.75" customHeight="1" x14ac:dyDescent="0.25">
      <c r="A34" s="196" t="s">
        <v>955</v>
      </c>
      <c r="B34" s="197" t="str">
        <f>VLOOKUP(A34,ORÇAMENTO!A32:M460,2,0)</f>
        <v>PISOS E REVESTIMENTOS</v>
      </c>
      <c r="C34" s="198">
        <f>VLOOKUP(A34,ORÇAMENTO!$A$14:$M$442,13,0)</f>
        <v>14235.88</v>
      </c>
      <c r="D34" s="199">
        <f t="shared" si="10"/>
        <v>1.329137396563137E-2</v>
      </c>
      <c r="E34" s="200"/>
      <c r="F34" s="201">
        <f t="shared" si="11"/>
        <v>0</v>
      </c>
      <c r="G34" s="202"/>
      <c r="H34" s="203">
        <f t="shared" si="12"/>
        <v>0</v>
      </c>
      <c r="I34" s="202"/>
      <c r="J34" s="203">
        <f t="shared" si="13"/>
        <v>0</v>
      </c>
      <c r="K34" s="202">
        <v>0.75</v>
      </c>
      <c r="L34" s="203">
        <f t="shared" si="14"/>
        <v>10676.91</v>
      </c>
      <c r="M34" s="209">
        <v>0.25</v>
      </c>
      <c r="N34" s="205">
        <f t="shared" si="15"/>
        <v>3558.97</v>
      </c>
      <c r="O34" s="209"/>
      <c r="P34" s="205">
        <f t="shared" si="16"/>
        <v>0</v>
      </c>
      <c r="Q34" s="202"/>
      <c r="R34" s="203">
        <f t="shared" si="17"/>
        <v>0</v>
      </c>
      <c r="S34" s="202"/>
      <c r="T34" s="203">
        <f t="shared" si="18"/>
        <v>0</v>
      </c>
      <c r="U34" s="206">
        <f t="shared" si="19"/>
        <v>1</v>
      </c>
    </row>
    <row r="35" spans="1:21" ht="15.75" customHeight="1" x14ac:dyDescent="0.25">
      <c r="A35" s="196" t="s">
        <v>960</v>
      </c>
      <c r="B35" s="197" t="str">
        <f>VLOOKUP(A35,ORÇAMENTO!A34:M462,2,0)</f>
        <v>ESQUADRIAS</v>
      </c>
      <c r="C35" s="198">
        <f>VLOOKUP(A35,ORÇAMENTO!$A$14:$M$442,13,0)</f>
        <v>21465.230000000003</v>
      </c>
      <c r="D35" s="199">
        <f t="shared" si="10"/>
        <v>2.0041079244015089E-2</v>
      </c>
      <c r="E35" s="200"/>
      <c r="F35" s="201">
        <f t="shared" si="11"/>
        <v>0</v>
      </c>
      <c r="G35" s="202"/>
      <c r="H35" s="203">
        <f t="shared" si="12"/>
        <v>0</v>
      </c>
      <c r="I35" s="202"/>
      <c r="J35" s="203">
        <f t="shared" si="13"/>
        <v>0</v>
      </c>
      <c r="K35" s="202">
        <v>1</v>
      </c>
      <c r="L35" s="203">
        <f t="shared" si="14"/>
        <v>21465.230000000003</v>
      </c>
      <c r="M35" s="204"/>
      <c r="N35" s="205">
        <f t="shared" si="15"/>
        <v>0</v>
      </c>
      <c r="O35" s="204"/>
      <c r="P35" s="205">
        <f t="shared" si="16"/>
        <v>0</v>
      </c>
      <c r="Q35" s="202"/>
      <c r="R35" s="203">
        <f t="shared" si="17"/>
        <v>0</v>
      </c>
      <c r="S35" s="202"/>
      <c r="T35" s="203">
        <f t="shared" si="18"/>
        <v>0</v>
      </c>
      <c r="U35" s="206">
        <f t="shared" si="19"/>
        <v>1</v>
      </c>
    </row>
    <row r="36" spans="1:21" ht="15.75" customHeight="1" x14ac:dyDescent="0.25">
      <c r="A36" s="196" t="s">
        <v>984</v>
      </c>
      <c r="B36" s="197" t="str">
        <f>VLOOKUP(A36,ORÇAMENTO!A34:M462,2,0)</f>
        <v>PINTURAS</v>
      </c>
      <c r="C36" s="198">
        <f>VLOOKUP(A36,ORÇAMENTO!$A$14:$M$442,13,0)</f>
        <v>10466.210000000001</v>
      </c>
      <c r="D36" s="199">
        <f t="shared" si="10"/>
        <v>9.7718097590616618E-3</v>
      </c>
      <c r="E36" s="200"/>
      <c r="F36" s="201">
        <f t="shared" si="11"/>
        <v>0</v>
      </c>
      <c r="G36" s="202"/>
      <c r="H36" s="203">
        <f t="shared" si="12"/>
        <v>0</v>
      </c>
      <c r="I36" s="202"/>
      <c r="J36" s="203">
        <f t="shared" si="13"/>
        <v>0</v>
      </c>
      <c r="K36" s="202"/>
      <c r="L36" s="203">
        <f t="shared" si="14"/>
        <v>0</v>
      </c>
      <c r="M36" s="209"/>
      <c r="N36" s="205">
        <f t="shared" si="15"/>
        <v>0</v>
      </c>
      <c r="O36" s="209"/>
      <c r="P36" s="205">
        <f t="shared" si="16"/>
        <v>0</v>
      </c>
      <c r="Q36" s="202">
        <v>0.3</v>
      </c>
      <c r="R36" s="203">
        <f t="shared" si="17"/>
        <v>3139.8630000000003</v>
      </c>
      <c r="S36" s="202">
        <v>0.7</v>
      </c>
      <c r="T36" s="203">
        <f t="shared" si="18"/>
        <v>7326.3469999999998</v>
      </c>
      <c r="U36" s="206">
        <f t="shared" si="19"/>
        <v>1</v>
      </c>
    </row>
    <row r="37" spans="1:21" ht="15.75" customHeight="1" x14ac:dyDescent="0.25">
      <c r="A37" s="196" t="s">
        <v>990</v>
      </c>
      <c r="B37" s="197" t="str">
        <f>VLOOKUP(A37,ORÇAMENTO!A36:M464,2,0)</f>
        <v>BANCADAS</v>
      </c>
      <c r="C37" s="198">
        <f>VLOOKUP(A37,ORÇAMENTO!$A$14:$M$442,13,0)</f>
        <v>28013.29</v>
      </c>
      <c r="D37" s="199">
        <f t="shared" si="10"/>
        <v>2.6154695979291875E-2</v>
      </c>
      <c r="E37" s="200"/>
      <c r="F37" s="201">
        <f t="shared" si="11"/>
        <v>0</v>
      </c>
      <c r="G37" s="202"/>
      <c r="H37" s="203">
        <f t="shared" si="12"/>
        <v>0</v>
      </c>
      <c r="I37" s="202">
        <v>1</v>
      </c>
      <c r="J37" s="203">
        <f t="shared" si="13"/>
        <v>28013.29</v>
      </c>
      <c r="K37" s="202"/>
      <c r="L37" s="203">
        <f t="shared" si="14"/>
        <v>0</v>
      </c>
      <c r="M37" s="204"/>
      <c r="N37" s="205">
        <f t="shared" si="15"/>
        <v>0</v>
      </c>
      <c r="O37" s="204"/>
      <c r="P37" s="205">
        <f t="shared" si="16"/>
        <v>0</v>
      </c>
      <c r="Q37" s="202"/>
      <c r="R37" s="203">
        <f t="shared" si="17"/>
        <v>0</v>
      </c>
      <c r="S37" s="202"/>
      <c r="T37" s="203">
        <f t="shared" si="18"/>
        <v>0</v>
      </c>
      <c r="U37" s="206">
        <f t="shared" si="19"/>
        <v>1</v>
      </c>
    </row>
    <row r="38" spans="1:21" ht="15.75" customHeight="1" x14ac:dyDescent="0.25">
      <c r="A38" s="196" t="s">
        <v>1000</v>
      </c>
      <c r="B38" s="197" t="str">
        <f>VLOOKUP(A38,ORÇAMENTO!A36:M464,2,0)</f>
        <v>INST. ELÉTRICA</v>
      </c>
      <c r="C38" s="198">
        <f>VLOOKUP(A38,ORÇAMENTO!$A$14:$M$442,13,0)</f>
        <v>25167.4</v>
      </c>
      <c r="D38" s="199">
        <f t="shared" si="10"/>
        <v>2.3497621864094879E-2</v>
      </c>
      <c r="E38" s="200"/>
      <c r="F38" s="201">
        <f t="shared" si="11"/>
        <v>0</v>
      </c>
      <c r="G38" s="202"/>
      <c r="H38" s="203">
        <f t="shared" si="12"/>
        <v>0</v>
      </c>
      <c r="I38" s="202"/>
      <c r="J38" s="203">
        <f t="shared" si="13"/>
        <v>0</v>
      </c>
      <c r="K38" s="202"/>
      <c r="L38" s="203">
        <f t="shared" si="14"/>
        <v>0</v>
      </c>
      <c r="M38" s="209"/>
      <c r="N38" s="205">
        <f t="shared" si="15"/>
        <v>0</v>
      </c>
      <c r="O38" s="209">
        <v>0.5</v>
      </c>
      <c r="P38" s="205">
        <f t="shared" si="16"/>
        <v>12583.7</v>
      </c>
      <c r="Q38" s="202">
        <v>0.5</v>
      </c>
      <c r="R38" s="203">
        <f t="shared" si="17"/>
        <v>12583.7</v>
      </c>
      <c r="S38" s="202"/>
      <c r="T38" s="203">
        <f t="shared" si="18"/>
        <v>0</v>
      </c>
      <c r="U38" s="206">
        <f t="shared" si="19"/>
        <v>1</v>
      </c>
    </row>
    <row r="39" spans="1:21" ht="15.75" customHeight="1" x14ac:dyDescent="0.25">
      <c r="A39" s="196" t="s">
        <v>1031</v>
      </c>
      <c r="B39" s="197" t="str">
        <f>VLOOKUP(A39,ORÇAMENTO!A38:M466,2,0)</f>
        <v xml:space="preserve">INST. HIDROSSANITÁRIAS </v>
      </c>
      <c r="C39" s="198">
        <f>VLOOKUP(A39,ORÇAMENTO!$A$14:$M$442,13,0)</f>
        <v>13323.059999999998</v>
      </c>
      <c r="D39" s="199">
        <f t="shared" si="10"/>
        <v>1.2439116712598355E-2</v>
      </c>
      <c r="E39" s="200"/>
      <c r="F39" s="201">
        <f t="shared" si="11"/>
        <v>0</v>
      </c>
      <c r="G39" s="202">
        <v>1</v>
      </c>
      <c r="H39" s="203">
        <f t="shared" si="12"/>
        <v>13323.059999999998</v>
      </c>
      <c r="I39" s="202"/>
      <c r="J39" s="203">
        <f t="shared" si="13"/>
        <v>0</v>
      </c>
      <c r="K39" s="202"/>
      <c r="L39" s="203">
        <f t="shared" si="14"/>
        <v>0</v>
      </c>
      <c r="M39" s="204"/>
      <c r="N39" s="205">
        <f t="shared" si="15"/>
        <v>0</v>
      </c>
      <c r="O39" s="204"/>
      <c r="P39" s="205">
        <f t="shared" si="16"/>
        <v>0</v>
      </c>
      <c r="Q39" s="202"/>
      <c r="R39" s="203">
        <f t="shared" si="17"/>
        <v>0</v>
      </c>
      <c r="S39" s="202"/>
      <c r="T39" s="203">
        <f t="shared" si="18"/>
        <v>0</v>
      </c>
      <c r="U39" s="206">
        <f t="shared" si="19"/>
        <v>1</v>
      </c>
    </row>
    <row r="40" spans="1:21" ht="15.75" customHeight="1" x14ac:dyDescent="0.25">
      <c r="A40" s="196" t="s">
        <v>1085</v>
      </c>
      <c r="B40" s="197" t="str">
        <f>VLOOKUP(A40,ORÇAMENTO!A38:M466,2,0)</f>
        <v>INST. PREVENÇÃO INCÊNDIO</v>
      </c>
      <c r="C40" s="198">
        <f>VLOOKUP(A40,ORÇAMENTO!$A$14:$M$442,13,0)</f>
        <v>1321.7900000000002</v>
      </c>
      <c r="D40" s="199">
        <f t="shared" si="10"/>
        <v>1.2340933749112729E-3</v>
      </c>
      <c r="E40" s="200"/>
      <c r="F40" s="201">
        <f t="shared" si="11"/>
        <v>0</v>
      </c>
      <c r="G40" s="202"/>
      <c r="H40" s="203">
        <f t="shared" si="12"/>
        <v>0</v>
      </c>
      <c r="I40" s="202"/>
      <c r="J40" s="203">
        <f t="shared" si="13"/>
        <v>0</v>
      </c>
      <c r="K40" s="202"/>
      <c r="L40" s="203">
        <f t="shared" si="14"/>
        <v>0</v>
      </c>
      <c r="M40" s="209"/>
      <c r="N40" s="205">
        <f t="shared" si="15"/>
        <v>0</v>
      </c>
      <c r="O40" s="209"/>
      <c r="P40" s="205">
        <f t="shared" si="16"/>
        <v>0</v>
      </c>
      <c r="Q40" s="202"/>
      <c r="R40" s="203">
        <f t="shared" si="17"/>
        <v>0</v>
      </c>
      <c r="S40" s="202">
        <v>1</v>
      </c>
      <c r="T40" s="203">
        <f t="shared" si="18"/>
        <v>1321.7900000000002</v>
      </c>
      <c r="U40" s="206">
        <f t="shared" si="19"/>
        <v>1</v>
      </c>
    </row>
    <row r="41" spans="1:21" ht="15.75" customHeight="1" x14ac:dyDescent="0.25">
      <c r="A41" s="196" t="s">
        <v>1086</v>
      </c>
      <c r="B41" s="197" t="str">
        <f>VLOOKUP(A41,ORÇAMENTO!A40:M468,2,0)</f>
        <v>LIMPEZA E RCC</v>
      </c>
      <c r="C41" s="198">
        <f>VLOOKUP(A41,ORÇAMENTO!$A$14:$M$442,13,0)</f>
        <v>1040.68</v>
      </c>
      <c r="D41" s="199">
        <f t="shared" si="10"/>
        <v>9.7163414264192006E-4</v>
      </c>
      <c r="E41" s="200">
        <v>0.5</v>
      </c>
      <c r="F41" s="201">
        <f t="shared" si="11"/>
        <v>520.34</v>
      </c>
      <c r="G41" s="202">
        <v>0.05</v>
      </c>
      <c r="H41" s="203">
        <f t="shared" si="12"/>
        <v>52.034000000000006</v>
      </c>
      <c r="I41" s="202">
        <v>0.05</v>
      </c>
      <c r="J41" s="203">
        <f t="shared" si="13"/>
        <v>52.034000000000006</v>
      </c>
      <c r="K41" s="202">
        <v>0.05</v>
      </c>
      <c r="L41" s="203">
        <f t="shared" si="14"/>
        <v>52.034000000000006</v>
      </c>
      <c r="M41" s="204">
        <v>0.05</v>
      </c>
      <c r="N41" s="205">
        <f t="shared" si="15"/>
        <v>52.034000000000006</v>
      </c>
      <c r="O41" s="204">
        <v>0.05</v>
      </c>
      <c r="P41" s="205">
        <f t="shared" si="16"/>
        <v>52.034000000000006</v>
      </c>
      <c r="Q41" s="202">
        <v>0.05</v>
      </c>
      <c r="R41" s="203">
        <f t="shared" si="17"/>
        <v>52.034000000000006</v>
      </c>
      <c r="S41" s="202">
        <v>0.2</v>
      </c>
      <c r="T41" s="203">
        <f t="shared" si="18"/>
        <v>208.13600000000002</v>
      </c>
      <c r="U41" s="206">
        <f t="shared" si="19"/>
        <v>1.0000000000000002</v>
      </c>
    </row>
    <row r="42" spans="1:21" ht="15.75" customHeight="1" x14ac:dyDescent="0.2">
      <c r="A42" s="196"/>
      <c r="B42" s="219" t="s">
        <v>21</v>
      </c>
      <c r="C42" s="198">
        <f>SUM(C15:C41)</f>
        <v>1071061.5799999998</v>
      </c>
      <c r="D42" s="199">
        <f t="shared" si="10"/>
        <v>1</v>
      </c>
      <c r="E42" s="220">
        <f>F42*D42/C42</f>
        <v>6.2534577143547626E-2</v>
      </c>
      <c r="F42" s="201">
        <f>SUM(F15:F41)</f>
        <v>66978.383000000002</v>
      </c>
      <c r="G42" s="221">
        <f>H42*D42/C42</f>
        <v>0.11105044819178375</v>
      </c>
      <c r="H42" s="201">
        <f>SUM(H15:H41)</f>
        <v>118941.86850000003</v>
      </c>
      <c r="I42" s="221">
        <f>J42*D42/C42</f>
        <v>0.13137746057514271</v>
      </c>
      <c r="J42" s="201">
        <f>SUM(J15:J41)</f>
        <v>140713.35050000003</v>
      </c>
      <c r="K42" s="221">
        <f>L42*D42/C42</f>
        <v>8.0315091220058532E-2</v>
      </c>
      <c r="L42" s="201">
        <f>SUM(L15:L41)</f>
        <v>86022.408500000005</v>
      </c>
      <c r="M42" s="221">
        <f>N42*D42/C42</f>
        <v>0.23415984727974282</v>
      </c>
      <c r="N42" s="201">
        <f>SUM(N15:N41)</f>
        <v>250799.61600000001</v>
      </c>
      <c r="O42" s="221">
        <f>P42*D42/C42</f>
        <v>0.14955179887976189</v>
      </c>
      <c r="P42" s="201">
        <f>SUM(P15:P41)</f>
        <v>160179.18599999999</v>
      </c>
      <c r="Q42" s="221">
        <f>R42*D42/C42</f>
        <v>0.11877022887890346</v>
      </c>
      <c r="R42" s="201">
        <f>SUM(R15:R41)</f>
        <v>127210.22899999995</v>
      </c>
      <c r="S42" s="221">
        <f>T42*D42/C42</f>
        <v>0.11224054783105937</v>
      </c>
      <c r="T42" s="201">
        <f>SUM(T15:T41)</f>
        <v>120216.53850000001</v>
      </c>
      <c r="U42" s="206">
        <f t="shared" si="19"/>
        <v>1</v>
      </c>
    </row>
    <row r="43" spans="1:21" ht="9" customHeight="1" x14ac:dyDescent="0.25">
      <c r="A43" s="285"/>
      <c r="B43" s="286"/>
      <c r="C43" s="286"/>
      <c r="D43" s="286"/>
      <c r="E43" s="286"/>
      <c r="F43" s="286"/>
      <c r="G43" s="286"/>
      <c r="H43" s="286"/>
      <c r="I43" s="286"/>
      <c r="J43" s="286"/>
      <c r="K43" s="286"/>
      <c r="L43" s="259"/>
      <c r="M43" s="287"/>
      <c r="N43" s="288"/>
      <c r="O43" s="287"/>
      <c r="P43" s="288"/>
      <c r="U43" s="4"/>
    </row>
    <row r="44" spans="1:21" ht="15.75" customHeight="1" x14ac:dyDescent="0.25">
      <c r="A44" s="222"/>
      <c r="B44" s="176"/>
      <c r="C44" s="223"/>
      <c r="D44" s="224" t="s">
        <v>1163</v>
      </c>
      <c r="E44" s="289">
        <f>SUM(F15:F41)</f>
        <v>66978.383000000002</v>
      </c>
      <c r="F44" s="284"/>
      <c r="G44" s="290">
        <f>SUM(H15:H41)</f>
        <v>118941.86850000003</v>
      </c>
      <c r="H44" s="284"/>
      <c r="I44" s="290">
        <f>SUM(J15:J41)</f>
        <v>140713.35050000003</v>
      </c>
      <c r="J44" s="284"/>
      <c r="K44" s="290">
        <f>SUM(L15:L41)</f>
        <v>86022.408500000005</v>
      </c>
      <c r="L44" s="284"/>
      <c r="M44" s="302">
        <f>SUM(N15:N41)</f>
        <v>250799.61600000001</v>
      </c>
      <c r="N44" s="263"/>
      <c r="O44" s="302">
        <f>SUM(P15:P41)</f>
        <v>160179.18599999999</v>
      </c>
      <c r="P44" s="263"/>
      <c r="Q44" s="290">
        <f>SUM(R15:R41)</f>
        <v>127210.22899999995</v>
      </c>
      <c r="R44" s="284"/>
      <c r="S44" s="290">
        <f>SUM(T15:T41)</f>
        <v>120216.53850000001</v>
      </c>
      <c r="T44" s="284"/>
      <c r="U44" s="4"/>
    </row>
    <row r="45" spans="1:21" ht="15.75" customHeight="1" x14ac:dyDescent="0.25">
      <c r="A45" s="222"/>
      <c r="B45" s="176"/>
      <c r="C45" s="225"/>
      <c r="D45" s="224" t="s">
        <v>1164</v>
      </c>
      <c r="E45" s="291">
        <f>SUM(E44/$C$42)</f>
        <v>6.2534577143547626E-2</v>
      </c>
      <c r="F45" s="284"/>
      <c r="G45" s="292">
        <f>SUM(G44/$C$42)</f>
        <v>0.11105044819178375</v>
      </c>
      <c r="H45" s="284"/>
      <c r="I45" s="292">
        <f>SUM(I44/$C$42)</f>
        <v>0.13137746057514271</v>
      </c>
      <c r="J45" s="284"/>
      <c r="K45" s="292">
        <f>SUM(K44/$C$42)</f>
        <v>8.0315091220058532E-2</v>
      </c>
      <c r="L45" s="284"/>
      <c r="M45" s="292">
        <f>SUM(M44/$C$42)</f>
        <v>0.23415984727974282</v>
      </c>
      <c r="N45" s="284"/>
      <c r="O45" s="292">
        <f>SUM(O44/$C$42)</f>
        <v>0.14955179887976189</v>
      </c>
      <c r="P45" s="284"/>
      <c r="Q45" s="292">
        <f>SUM(Q44/$C$42)</f>
        <v>0.11877022887890346</v>
      </c>
      <c r="R45" s="284"/>
      <c r="S45" s="292">
        <f>SUM(S44/$C$42)</f>
        <v>0.11224054783105937</v>
      </c>
      <c r="T45" s="284"/>
      <c r="U45" s="4"/>
    </row>
    <row r="46" spans="1:21" ht="15.75" customHeight="1" x14ac:dyDescent="0.25">
      <c r="A46" s="222"/>
      <c r="B46" s="176"/>
      <c r="C46" s="223"/>
      <c r="D46" s="224" t="s">
        <v>1165</v>
      </c>
      <c r="E46" s="289">
        <f t="shared" ref="E46:E47" si="20">E44</f>
        <v>66978.383000000002</v>
      </c>
      <c r="F46" s="284"/>
      <c r="G46" s="290">
        <f t="shared" ref="G46:G47" si="21">E46+G44</f>
        <v>185920.25150000001</v>
      </c>
      <c r="H46" s="284"/>
      <c r="I46" s="290">
        <f t="shared" ref="I46:I47" si="22">G46+I44</f>
        <v>326633.60200000007</v>
      </c>
      <c r="J46" s="284"/>
      <c r="K46" s="290">
        <f t="shared" ref="K46:K47" si="23">I46+K44</f>
        <v>412656.01050000009</v>
      </c>
      <c r="L46" s="284"/>
      <c r="M46" s="290">
        <f t="shared" ref="M46:M47" si="24">K46+M44</f>
        <v>663455.62650000013</v>
      </c>
      <c r="N46" s="284"/>
      <c r="O46" s="290">
        <f t="shared" ref="O46:O47" si="25">M46+O44</f>
        <v>823634.81250000012</v>
      </c>
      <c r="P46" s="284"/>
      <c r="Q46" s="290">
        <f t="shared" ref="Q46:Q47" si="26">O46+Q44</f>
        <v>950845.04150000005</v>
      </c>
      <c r="R46" s="284"/>
      <c r="S46" s="290">
        <f t="shared" ref="S46:S47" si="27">Q46+S44</f>
        <v>1071061.58</v>
      </c>
      <c r="T46" s="284"/>
      <c r="U46" s="4"/>
    </row>
    <row r="47" spans="1:21" ht="15.75" customHeight="1" x14ac:dyDescent="0.25">
      <c r="A47" s="222"/>
      <c r="B47" s="176"/>
      <c r="C47" s="223"/>
      <c r="D47" s="224" t="s">
        <v>1166</v>
      </c>
      <c r="E47" s="291">
        <f t="shared" si="20"/>
        <v>6.2534577143547626E-2</v>
      </c>
      <c r="F47" s="284"/>
      <c r="G47" s="292">
        <f t="shared" si="21"/>
        <v>0.17358502533533138</v>
      </c>
      <c r="H47" s="284"/>
      <c r="I47" s="292">
        <f t="shared" si="22"/>
        <v>0.30496248591047409</v>
      </c>
      <c r="J47" s="284"/>
      <c r="K47" s="292">
        <f t="shared" si="23"/>
        <v>0.38527757713053262</v>
      </c>
      <c r="L47" s="284"/>
      <c r="M47" s="292">
        <f t="shared" si="24"/>
        <v>0.61943742441027538</v>
      </c>
      <c r="N47" s="284"/>
      <c r="O47" s="292">
        <f t="shared" si="25"/>
        <v>0.76898922329003727</v>
      </c>
      <c r="P47" s="284"/>
      <c r="Q47" s="292">
        <f t="shared" si="26"/>
        <v>0.8877594521689407</v>
      </c>
      <c r="R47" s="284"/>
      <c r="S47" s="292">
        <f t="shared" si="27"/>
        <v>1</v>
      </c>
      <c r="T47" s="284"/>
      <c r="U47" s="4"/>
    </row>
    <row r="48" spans="1:21" ht="15.75" customHeight="1" x14ac:dyDescent="0.25">
      <c r="A48" s="226"/>
      <c r="B48" s="226"/>
      <c r="C48" s="226"/>
      <c r="D48" s="226"/>
      <c r="E48" s="226"/>
      <c r="F48" s="226"/>
      <c r="G48" s="226"/>
      <c r="H48" s="226"/>
      <c r="I48" s="4"/>
      <c r="J48" s="4"/>
      <c r="K48" s="4"/>
      <c r="L48" s="4"/>
      <c r="M48" s="124"/>
      <c r="N48" s="124"/>
      <c r="O48" s="124"/>
      <c r="P48" s="124"/>
      <c r="Q48" s="4"/>
      <c r="R48" s="4"/>
      <c r="S48" s="4"/>
      <c r="T48" s="4"/>
      <c r="U48" s="4"/>
    </row>
    <row r="49" spans="1:20" ht="15.75" customHeight="1" x14ac:dyDescent="0.25">
      <c r="A49" s="293"/>
      <c r="B49" s="243"/>
      <c r="C49" s="243"/>
      <c r="D49" s="243"/>
      <c r="E49" s="243"/>
      <c r="F49" s="243"/>
      <c r="G49" s="243"/>
      <c r="H49" s="243"/>
      <c r="I49" s="243"/>
      <c r="J49" s="243"/>
      <c r="K49" s="243"/>
      <c r="L49" s="244"/>
      <c r="M49" s="294"/>
      <c r="N49" s="244"/>
      <c r="O49" s="294"/>
      <c r="P49" s="244"/>
      <c r="Q49" s="123"/>
      <c r="R49" s="123"/>
      <c r="S49" s="123"/>
      <c r="T49" s="123"/>
    </row>
    <row r="50" spans="1:20" ht="15.75" customHeight="1" x14ac:dyDescent="0.25">
      <c r="M50" s="124"/>
      <c r="N50" s="124"/>
      <c r="O50" s="124"/>
      <c r="P50" s="124"/>
    </row>
    <row r="51" spans="1:20" ht="15.75" customHeight="1" x14ac:dyDescent="0.25">
      <c r="M51" s="124"/>
      <c r="N51" s="124"/>
      <c r="O51" s="124"/>
      <c r="P51" s="124"/>
    </row>
    <row r="52" spans="1:20" ht="15.75" customHeight="1" x14ac:dyDescent="0.25">
      <c r="M52" s="124"/>
      <c r="N52" s="124"/>
      <c r="O52" s="124"/>
      <c r="P52" s="124"/>
    </row>
    <row r="53" spans="1:20" ht="15.75" customHeight="1" x14ac:dyDescent="0.25">
      <c r="M53" s="124"/>
      <c r="N53" s="124"/>
      <c r="O53" s="124"/>
      <c r="P53" s="124"/>
    </row>
    <row r="54" spans="1:20" ht="15.75" customHeight="1" x14ac:dyDescent="0.25">
      <c r="M54" s="124"/>
      <c r="N54" s="124"/>
      <c r="O54" s="124"/>
      <c r="P54" s="124"/>
    </row>
    <row r="55" spans="1:20" ht="15.75" customHeight="1" x14ac:dyDescent="0.25">
      <c r="M55" s="124"/>
      <c r="N55" s="124"/>
      <c r="O55" s="124"/>
      <c r="P55" s="124"/>
    </row>
    <row r="56" spans="1:20" ht="15.75" customHeight="1" x14ac:dyDescent="0.25">
      <c r="M56" s="124"/>
      <c r="N56" s="124"/>
      <c r="O56" s="124"/>
      <c r="P56" s="124"/>
    </row>
    <row r="57" spans="1:20" ht="15.75" customHeight="1" x14ac:dyDescent="0.25">
      <c r="M57" s="124"/>
      <c r="N57" s="124"/>
      <c r="O57" s="124"/>
      <c r="P57" s="124"/>
    </row>
    <row r="58" spans="1:20" ht="15.75" customHeight="1" x14ac:dyDescent="0.25">
      <c r="M58" s="124"/>
      <c r="N58" s="124"/>
      <c r="O58" s="124"/>
      <c r="P58" s="124"/>
    </row>
    <row r="59" spans="1:20" ht="15.75" customHeight="1" x14ac:dyDescent="0.25">
      <c r="M59" s="124"/>
      <c r="N59" s="124"/>
      <c r="O59" s="124"/>
      <c r="P59" s="124"/>
    </row>
    <row r="60" spans="1:20" ht="15.75" customHeight="1" x14ac:dyDescent="0.25">
      <c r="M60" s="124"/>
      <c r="N60" s="124"/>
      <c r="O60" s="124"/>
      <c r="P60" s="124"/>
    </row>
    <row r="61" spans="1:20" ht="15.75" customHeight="1" x14ac:dyDescent="0.25">
      <c r="M61" s="124"/>
      <c r="N61" s="124"/>
      <c r="O61" s="124"/>
      <c r="P61" s="124"/>
    </row>
    <row r="62" spans="1:20" ht="15.75" customHeight="1" x14ac:dyDescent="0.25">
      <c r="M62" s="124"/>
      <c r="N62" s="124"/>
      <c r="O62" s="124"/>
      <c r="P62" s="124"/>
    </row>
    <row r="63" spans="1:20" ht="15.75" customHeight="1" x14ac:dyDescent="0.25">
      <c r="M63" s="124"/>
      <c r="N63" s="124"/>
      <c r="O63" s="124"/>
      <c r="P63" s="124"/>
    </row>
    <row r="64" spans="1:20" ht="15.75" customHeight="1" x14ac:dyDescent="0.25">
      <c r="M64" s="124"/>
      <c r="N64" s="124"/>
      <c r="O64" s="124"/>
      <c r="P64" s="124"/>
    </row>
    <row r="65" spans="13:16" ht="15.75" customHeight="1" x14ac:dyDescent="0.25">
      <c r="M65" s="124"/>
      <c r="N65" s="124"/>
      <c r="O65" s="124"/>
      <c r="P65" s="124"/>
    </row>
    <row r="66" spans="13:16" ht="15.75" customHeight="1" x14ac:dyDescent="0.25">
      <c r="M66" s="124"/>
      <c r="N66" s="124"/>
      <c r="O66" s="124"/>
      <c r="P66" s="124"/>
    </row>
    <row r="67" spans="13:16" ht="15.75" customHeight="1" x14ac:dyDescent="0.25">
      <c r="M67" s="124"/>
      <c r="N67" s="124"/>
      <c r="O67" s="124"/>
      <c r="P67" s="124"/>
    </row>
    <row r="68" spans="13:16" ht="15.75" customHeight="1" x14ac:dyDescent="0.25">
      <c r="M68" s="124"/>
      <c r="N68" s="124"/>
      <c r="O68" s="124"/>
      <c r="P68" s="124"/>
    </row>
    <row r="69" spans="13:16" ht="15.75" customHeight="1" x14ac:dyDescent="0.25">
      <c r="M69" s="124"/>
      <c r="N69" s="124"/>
      <c r="O69" s="124"/>
      <c r="P69" s="124"/>
    </row>
    <row r="70" spans="13:16" ht="15.75" customHeight="1" x14ac:dyDescent="0.25">
      <c r="M70" s="124"/>
      <c r="N70" s="124"/>
      <c r="O70" s="124"/>
      <c r="P70" s="124"/>
    </row>
    <row r="71" spans="13:16" ht="15.75" customHeight="1" x14ac:dyDescent="0.25">
      <c r="M71" s="124"/>
      <c r="N71" s="124"/>
      <c r="O71" s="124"/>
      <c r="P71" s="124"/>
    </row>
    <row r="72" spans="13:16" ht="15.75" customHeight="1" x14ac:dyDescent="0.25">
      <c r="M72" s="124"/>
      <c r="N72" s="124"/>
      <c r="O72" s="124"/>
      <c r="P72" s="124"/>
    </row>
    <row r="73" spans="13:16" ht="15.75" customHeight="1" x14ac:dyDescent="0.25">
      <c r="M73" s="124"/>
      <c r="N73" s="124"/>
      <c r="O73" s="124"/>
      <c r="P73" s="124"/>
    </row>
    <row r="74" spans="13:16" ht="15.75" customHeight="1" x14ac:dyDescent="0.25">
      <c r="M74" s="124"/>
      <c r="N74" s="124"/>
      <c r="O74" s="124"/>
      <c r="P74" s="124"/>
    </row>
    <row r="75" spans="13:16" ht="15.75" customHeight="1" x14ac:dyDescent="0.25">
      <c r="M75" s="124"/>
      <c r="N75" s="124"/>
      <c r="O75" s="124"/>
      <c r="P75" s="124"/>
    </row>
    <row r="76" spans="13:16" ht="15.75" customHeight="1" x14ac:dyDescent="0.25">
      <c r="M76" s="124"/>
      <c r="N76" s="124"/>
      <c r="O76" s="124"/>
      <c r="P76" s="124"/>
    </row>
    <row r="77" spans="13:16" ht="15.75" customHeight="1" x14ac:dyDescent="0.25">
      <c r="M77" s="124"/>
      <c r="N77" s="124"/>
      <c r="O77" s="124"/>
      <c r="P77" s="124"/>
    </row>
    <row r="78" spans="13:16" ht="15.75" customHeight="1" x14ac:dyDescent="0.25">
      <c r="M78" s="124"/>
      <c r="N78" s="124"/>
      <c r="O78" s="124"/>
      <c r="P78" s="124"/>
    </row>
    <row r="79" spans="13:16" ht="15.75" customHeight="1" x14ac:dyDescent="0.25">
      <c r="M79" s="124"/>
      <c r="N79" s="124"/>
      <c r="O79" s="124"/>
      <c r="P79" s="124"/>
    </row>
    <row r="80" spans="13:16" ht="15.75" customHeight="1" x14ac:dyDescent="0.25">
      <c r="M80" s="124"/>
      <c r="N80" s="124"/>
      <c r="O80" s="124"/>
      <c r="P80" s="124"/>
    </row>
    <row r="81" spans="13:16" ht="15.75" customHeight="1" x14ac:dyDescent="0.25">
      <c r="M81" s="124"/>
      <c r="N81" s="124"/>
      <c r="O81" s="124"/>
      <c r="P81" s="124"/>
    </row>
    <row r="82" spans="13:16" ht="15.75" customHeight="1" x14ac:dyDescent="0.25">
      <c r="M82" s="124"/>
      <c r="N82" s="124"/>
      <c r="O82" s="124"/>
      <c r="P82" s="124"/>
    </row>
    <row r="83" spans="13:16" ht="15.75" customHeight="1" x14ac:dyDescent="0.25">
      <c r="M83" s="124"/>
      <c r="N83" s="124"/>
      <c r="O83" s="124"/>
      <c r="P83" s="124"/>
    </row>
    <row r="84" spans="13:16" ht="15.75" customHeight="1" x14ac:dyDescent="0.25">
      <c r="M84" s="124"/>
      <c r="N84" s="124"/>
      <c r="O84" s="124"/>
      <c r="P84" s="124"/>
    </row>
    <row r="85" spans="13:16" ht="15.75" customHeight="1" x14ac:dyDescent="0.25">
      <c r="M85" s="124"/>
      <c r="N85" s="124"/>
      <c r="O85" s="124"/>
      <c r="P85" s="124"/>
    </row>
    <row r="86" spans="13:16" ht="15.75" customHeight="1" x14ac:dyDescent="0.25">
      <c r="M86" s="124"/>
      <c r="N86" s="124"/>
      <c r="O86" s="124"/>
      <c r="P86" s="124"/>
    </row>
    <row r="87" spans="13:16" ht="15.75" customHeight="1" x14ac:dyDescent="0.25">
      <c r="M87" s="124"/>
      <c r="N87" s="124"/>
      <c r="O87" s="124"/>
      <c r="P87" s="124"/>
    </row>
    <row r="88" spans="13:16" ht="15.75" customHeight="1" x14ac:dyDescent="0.25">
      <c r="M88" s="124"/>
      <c r="N88" s="124"/>
      <c r="O88" s="124"/>
      <c r="P88" s="124"/>
    </row>
    <row r="89" spans="13:16" ht="15.75" customHeight="1" x14ac:dyDescent="0.25">
      <c r="M89" s="124"/>
      <c r="N89" s="124"/>
      <c r="O89" s="124"/>
      <c r="P89" s="124"/>
    </row>
    <row r="90" spans="13:16" ht="15.75" customHeight="1" x14ac:dyDescent="0.25">
      <c r="M90" s="124"/>
      <c r="N90" s="124"/>
      <c r="O90" s="124"/>
      <c r="P90" s="124"/>
    </row>
    <row r="91" spans="13:16" ht="15.75" customHeight="1" x14ac:dyDescent="0.25">
      <c r="M91" s="124"/>
      <c r="N91" s="124"/>
      <c r="O91" s="124"/>
      <c r="P91" s="124"/>
    </row>
    <row r="92" spans="13:16" ht="15.75" customHeight="1" x14ac:dyDescent="0.25">
      <c r="M92" s="124"/>
      <c r="N92" s="124"/>
      <c r="O92" s="124"/>
      <c r="P92" s="124"/>
    </row>
    <row r="93" spans="13:16" ht="15.75" customHeight="1" x14ac:dyDescent="0.25">
      <c r="M93" s="124"/>
      <c r="N93" s="124"/>
      <c r="O93" s="124"/>
      <c r="P93" s="124"/>
    </row>
    <row r="94" spans="13:16" ht="15.75" customHeight="1" x14ac:dyDescent="0.25">
      <c r="M94" s="124"/>
      <c r="N94" s="124"/>
      <c r="O94" s="124"/>
      <c r="P94" s="124"/>
    </row>
    <row r="95" spans="13:16" ht="15.75" customHeight="1" x14ac:dyDescent="0.25">
      <c r="M95" s="124"/>
      <c r="N95" s="124"/>
      <c r="O95" s="124"/>
      <c r="P95" s="124"/>
    </row>
    <row r="96" spans="13:16" ht="15.75" customHeight="1" x14ac:dyDescent="0.25">
      <c r="M96" s="124"/>
      <c r="N96" s="124"/>
      <c r="O96" s="124"/>
      <c r="P96" s="124"/>
    </row>
    <row r="97" spans="13:16" ht="15.75" customHeight="1" x14ac:dyDescent="0.25">
      <c r="M97" s="124"/>
      <c r="N97" s="124"/>
      <c r="O97" s="124"/>
      <c r="P97" s="124"/>
    </row>
    <row r="98" spans="13:16" ht="15.75" customHeight="1" x14ac:dyDescent="0.25">
      <c r="M98" s="124"/>
      <c r="N98" s="124"/>
      <c r="O98" s="124"/>
      <c r="P98" s="124"/>
    </row>
    <row r="99" spans="13:16" ht="15.75" customHeight="1" x14ac:dyDescent="0.25">
      <c r="M99" s="124"/>
      <c r="N99" s="124"/>
      <c r="O99" s="124"/>
      <c r="P99" s="124"/>
    </row>
    <row r="100" spans="13:16" ht="15.75" customHeight="1" x14ac:dyDescent="0.25">
      <c r="M100" s="124"/>
      <c r="N100" s="124"/>
      <c r="O100" s="124"/>
      <c r="P100" s="124"/>
    </row>
    <row r="101" spans="13:16" ht="15.75" customHeight="1" x14ac:dyDescent="0.25">
      <c r="M101" s="124"/>
      <c r="N101" s="124"/>
      <c r="O101" s="124"/>
      <c r="P101" s="124"/>
    </row>
    <row r="102" spans="13:16" ht="15.75" customHeight="1" x14ac:dyDescent="0.25">
      <c r="M102" s="124"/>
      <c r="N102" s="124"/>
      <c r="O102" s="124"/>
      <c r="P102" s="124"/>
    </row>
    <row r="103" spans="13:16" ht="15.75" customHeight="1" x14ac:dyDescent="0.25">
      <c r="M103" s="124"/>
      <c r="N103" s="124"/>
      <c r="O103" s="124"/>
      <c r="P103" s="124"/>
    </row>
    <row r="104" spans="13:16" ht="15.75" customHeight="1" x14ac:dyDescent="0.25">
      <c r="M104" s="124"/>
      <c r="N104" s="124"/>
      <c r="O104" s="124"/>
      <c r="P104" s="124"/>
    </row>
    <row r="105" spans="13:16" ht="15.75" customHeight="1" x14ac:dyDescent="0.25">
      <c r="M105" s="124"/>
      <c r="N105" s="124"/>
      <c r="O105" s="124"/>
      <c r="P105" s="124"/>
    </row>
    <row r="106" spans="13:16" ht="15.75" customHeight="1" x14ac:dyDescent="0.25">
      <c r="M106" s="124"/>
      <c r="N106" s="124"/>
      <c r="O106" s="124"/>
      <c r="P106" s="124"/>
    </row>
    <row r="107" spans="13:16" ht="15.75" customHeight="1" x14ac:dyDescent="0.25">
      <c r="M107" s="124"/>
      <c r="N107" s="124"/>
      <c r="O107" s="124"/>
      <c r="P107" s="124"/>
    </row>
    <row r="108" spans="13:16" ht="15.75" customHeight="1" x14ac:dyDescent="0.25">
      <c r="M108" s="124"/>
      <c r="N108" s="124"/>
      <c r="O108" s="124"/>
      <c r="P108" s="124"/>
    </row>
    <row r="109" spans="13:16" ht="15.75" customHeight="1" x14ac:dyDescent="0.25">
      <c r="M109" s="124"/>
      <c r="N109" s="124"/>
      <c r="O109" s="124"/>
      <c r="P109" s="124"/>
    </row>
    <row r="110" spans="13:16" ht="15.75" customHeight="1" x14ac:dyDescent="0.25">
      <c r="M110" s="124"/>
      <c r="N110" s="124"/>
      <c r="O110" s="124"/>
      <c r="P110" s="124"/>
    </row>
    <row r="111" spans="13:16" ht="15.75" customHeight="1" x14ac:dyDescent="0.25">
      <c r="M111" s="124"/>
      <c r="N111" s="124"/>
      <c r="O111" s="124"/>
      <c r="P111" s="124"/>
    </row>
    <row r="112" spans="13:16" ht="15.75" customHeight="1" x14ac:dyDescent="0.25">
      <c r="M112" s="124"/>
      <c r="N112" s="124"/>
      <c r="O112" s="124"/>
      <c r="P112" s="124"/>
    </row>
    <row r="113" spans="13:16" ht="15.75" customHeight="1" x14ac:dyDescent="0.25">
      <c r="M113" s="124"/>
      <c r="N113" s="124"/>
      <c r="O113" s="124"/>
      <c r="P113" s="124"/>
    </row>
    <row r="114" spans="13:16" ht="15.75" customHeight="1" x14ac:dyDescent="0.25">
      <c r="M114" s="124"/>
      <c r="N114" s="124"/>
      <c r="O114" s="124"/>
      <c r="P114" s="124"/>
    </row>
    <row r="115" spans="13:16" ht="15.75" customHeight="1" x14ac:dyDescent="0.25">
      <c r="M115" s="124"/>
      <c r="N115" s="124"/>
      <c r="O115" s="124"/>
      <c r="P115" s="124"/>
    </row>
    <row r="116" spans="13:16" ht="15.75" customHeight="1" x14ac:dyDescent="0.25">
      <c r="M116" s="124"/>
      <c r="N116" s="124"/>
      <c r="O116" s="124"/>
      <c r="P116" s="124"/>
    </row>
    <row r="117" spans="13:16" ht="15.75" customHeight="1" x14ac:dyDescent="0.25">
      <c r="M117" s="124"/>
      <c r="N117" s="124"/>
      <c r="O117" s="124"/>
      <c r="P117" s="124"/>
    </row>
    <row r="118" spans="13:16" ht="15.75" customHeight="1" x14ac:dyDescent="0.25">
      <c r="M118" s="124"/>
      <c r="N118" s="124"/>
      <c r="O118" s="124"/>
      <c r="P118" s="124"/>
    </row>
    <row r="119" spans="13:16" ht="15.75" customHeight="1" x14ac:dyDescent="0.25">
      <c r="M119" s="124"/>
      <c r="N119" s="124"/>
      <c r="O119" s="124"/>
      <c r="P119" s="124"/>
    </row>
    <row r="120" spans="13:16" ht="15.75" customHeight="1" x14ac:dyDescent="0.25">
      <c r="M120" s="124"/>
      <c r="N120" s="124"/>
      <c r="O120" s="124"/>
      <c r="P120" s="124"/>
    </row>
    <row r="121" spans="13:16" ht="15.75" customHeight="1" x14ac:dyDescent="0.25">
      <c r="M121" s="124"/>
      <c r="N121" s="124"/>
      <c r="O121" s="124"/>
      <c r="P121" s="124"/>
    </row>
    <row r="122" spans="13:16" ht="15.75" customHeight="1" x14ac:dyDescent="0.25">
      <c r="M122" s="124"/>
      <c r="N122" s="124"/>
      <c r="O122" s="124"/>
      <c r="P122" s="124"/>
    </row>
    <row r="123" spans="13:16" ht="15.75" customHeight="1" x14ac:dyDescent="0.25">
      <c r="M123" s="124"/>
      <c r="N123" s="124"/>
      <c r="O123" s="124"/>
      <c r="P123" s="124"/>
    </row>
    <row r="124" spans="13:16" ht="15.75" customHeight="1" x14ac:dyDescent="0.25">
      <c r="M124" s="124"/>
      <c r="N124" s="124"/>
      <c r="O124" s="124"/>
      <c r="P124" s="124"/>
    </row>
    <row r="125" spans="13:16" ht="15.75" customHeight="1" x14ac:dyDescent="0.25">
      <c r="M125" s="124"/>
      <c r="N125" s="124"/>
      <c r="O125" s="124"/>
      <c r="P125" s="124"/>
    </row>
    <row r="126" spans="13:16" ht="15.75" customHeight="1" x14ac:dyDescent="0.25">
      <c r="M126" s="124"/>
      <c r="N126" s="124"/>
      <c r="O126" s="124"/>
      <c r="P126" s="124"/>
    </row>
    <row r="127" spans="13:16" ht="15.75" customHeight="1" x14ac:dyDescent="0.25">
      <c r="M127" s="124"/>
      <c r="N127" s="124"/>
      <c r="O127" s="124"/>
      <c r="P127" s="124"/>
    </row>
    <row r="128" spans="13:16" ht="15.75" customHeight="1" x14ac:dyDescent="0.25">
      <c r="M128" s="124"/>
      <c r="N128" s="124"/>
      <c r="O128" s="124"/>
      <c r="P128" s="124"/>
    </row>
    <row r="129" spans="13:16" ht="15.75" customHeight="1" x14ac:dyDescent="0.25">
      <c r="M129" s="124"/>
      <c r="N129" s="124"/>
      <c r="O129" s="124"/>
      <c r="P129" s="124"/>
    </row>
    <row r="130" spans="13:16" ht="15.75" customHeight="1" x14ac:dyDescent="0.25">
      <c r="M130" s="124"/>
      <c r="N130" s="124"/>
      <c r="O130" s="124"/>
      <c r="P130" s="124"/>
    </row>
    <row r="131" spans="13:16" ht="15.75" customHeight="1" x14ac:dyDescent="0.25">
      <c r="M131" s="124"/>
      <c r="N131" s="124"/>
      <c r="O131" s="124"/>
      <c r="P131" s="124"/>
    </row>
    <row r="132" spans="13:16" ht="15.75" customHeight="1" x14ac:dyDescent="0.25">
      <c r="M132" s="124"/>
      <c r="N132" s="124"/>
      <c r="O132" s="124"/>
      <c r="P132" s="124"/>
    </row>
    <row r="133" spans="13:16" ht="15.75" customHeight="1" x14ac:dyDescent="0.25">
      <c r="M133" s="124"/>
      <c r="N133" s="124"/>
      <c r="O133" s="124"/>
      <c r="P133" s="124"/>
    </row>
    <row r="134" spans="13:16" ht="15.75" customHeight="1" x14ac:dyDescent="0.25">
      <c r="M134" s="124"/>
      <c r="N134" s="124"/>
      <c r="O134" s="124"/>
      <c r="P134" s="124"/>
    </row>
    <row r="135" spans="13:16" ht="15.75" customHeight="1" x14ac:dyDescent="0.25">
      <c r="M135" s="124"/>
      <c r="N135" s="124"/>
      <c r="O135" s="124"/>
      <c r="P135" s="124"/>
    </row>
    <row r="136" spans="13:16" ht="15.75" customHeight="1" x14ac:dyDescent="0.25">
      <c r="M136" s="124"/>
      <c r="N136" s="124"/>
      <c r="O136" s="124"/>
      <c r="P136" s="124"/>
    </row>
    <row r="137" spans="13:16" ht="15.75" customHeight="1" x14ac:dyDescent="0.25">
      <c r="M137" s="124"/>
      <c r="N137" s="124"/>
      <c r="O137" s="124"/>
      <c r="P137" s="124"/>
    </row>
    <row r="138" spans="13:16" ht="15.75" customHeight="1" x14ac:dyDescent="0.25">
      <c r="M138" s="124"/>
      <c r="N138" s="124"/>
      <c r="O138" s="124"/>
      <c r="P138" s="124"/>
    </row>
    <row r="139" spans="13:16" ht="15.75" customHeight="1" x14ac:dyDescent="0.25">
      <c r="M139" s="124"/>
      <c r="N139" s="124"/>
      <c r="O139" s="124"/>
      <c r="P139" s="124"/>
    </row>
    <row r="140" spans="13:16" ht="15.75" customHeight="1" x14ac:dyDescent="0.25">
      <c r="M140" s="124"/>
      <c r="N140" s="124"/>
      <c r="O140" s="124"/>
      <c r="P140" s="124"/>
    </row>
    <row r="141" spans="13:16" ht="15.75" customHeight="1" x14ac:dyDescent="0.25">
      <c r="M141" s="124"/>
      <c r="N141" s="124"/>
      <c r="O141" s="124"/>
      <c r="P141" s="124"/>
    </row>
    <row r="142" spans="13:16" ht="15.75" customHeight="1" x14ac:dyDescent="0.25">
      <c r="M142" s="124"/>
      <c r="N142" s="124"/>
      <c r="O142" s="124"/>
      <c r="P142" s="124"/>
    </row>
    <row r="143" spans="13:16" ht="15.75" customHeight="1" x14ac:dyDescent="0.25">
      <c r="M143" s="124"/>
      <c r="N143" s="124"/>
      <c r="O143" s="124"/>
      <c r="P143" s="124"/>
    </row>
    <row r="144" spans="13:16" ht="15.75" customHeight="1" x14ac:dyDescent="0.25">
      <c r="M144" s="124"/>
      <c r="N144" s="124"/>
      <c r="O144" s="124"/>
      <c r="P144" s="124"/>
    </row>
    <row r="145" spans="13:16" ht="15.75" customHeight="1" x14ac:dyDescent="0.25">
      <c r="M145" s="124"/>
      <c r="N145" s="124"/>
      <c r="O145" s="124"/>
      <c r="P145" s="124"/>
    </row>
    <row r="146" spans="13:16" ht="15.75" customHeight="1" x14ac:dyDescent="0.25">
      <c r="M146" s="124"/>
      <c r="N146" s="124"/>
      <c r="O146" s="124"/>
      <c r="P146" s="124"/>
    </row>
    <row r="147" spans="13:16" ht="15.75" customHeight="1" x14ac:dyDescent="0.25">
      <c r="M147" s="124"/>
      <c r="N147" s="124"/>
      <c r="O147" s="124"/>
      <c r="P147" s="124"/>
    </row>
    <row r="148" spans="13:16" ht="15.75" customHeight="1" x14ac:dyDescent="0.25">
      <c r="M148" s="124"/>
      <c r="N148" s="124"/>
      <c r="O148" s="124"/>
      <c r="P148" s="124"/>
    </row>
    <row r="149" spans="13:16" ht="15.75" customHeight="1" x14ac:dyDescent="0.25">
      <c r="M149" s="124"/>
      <c r="N149" s="124"/>
      <c r="O149" s="124"/>
      <c r="P149" s="124"/>
    </row>
    <row r="150" spans="13:16" ht="15.75" customHeight="1" x14ac:dyDescent="0.25">
      <c r="M150" s="124"/>
      <c r="N150" s="124"/>
      <c r="O150" s="124"/>
      <c r="P150" s="124"/>
    </row>
    <row r="151" spans="13:16" ht="15.75" customHeight="1" x14ac:dyDescent="0.25">
      <c r="M151" s="124"/>
      <c r="N151" s="124"/>
      <c r="O151" s="124"/>
      <c r="P151" s="124"/>
    </row>
    <row r="152" spans="13:16" ht="15.75" customHeight="1" x14ac:dyDescent="0.25">
      <c r="M152" s="124"/>
      <c r="N152" s="124"/>
      <c r="O152" s="124"/>
      <c r="P152" s="124"/>
    </row>
    <row r="153" spans="13:16" ht="15.75" customHeight="1" x14ac:dyDescent="0.25">
      <c r="M153" s="124"/>
      <c r="N153" s="124"/>
      <c r="O153" s="124"/>
      <c r="P153" s="124"/>
    </row>
    <row r="154" spans="13:16" ht="15.75" customHeight="1" x14ac:dyDescent="0.25">
      <c r="M154" s="124"/>
      <c r="N154" s="124"/>
      <c r="O154" s="124"/>
      <c r="P154" s="124"/>
    </row>
    <row r="155" spans="13:16" ht="15.75" customHeight="1" x14ac:dyDescent="0.25">
      <c r="M155" s="124"/>
      <c r="N155" s="124"/>
      <c r="O155" s="124"/>
      <c r="P155" s="124"/>
    </row>
    <row r="156" spans="13:16" ht="15.75" customHeight="1" x14ac:dyDescent="0.25">
      <c r="M156" s="124"/>
      <c r="N156" s="124"/>
      <c r="O156" s="124"/>
      <c r="P156" s="124"/>
    </row>
    <row r="157" spans="13:16" ht="15.75" customHeight="1" x14ac:dyDescent="0.25">
      <c r="M157" s="124"/>
      <c r="N157" s="124"/>
      <c r="O157" s="124"/>
      <c r="P157" s="124"/>
    </row>
    <row r="158" spans="13:16" ht="15.75" customHeight="1" x14ac:dyDescent="0.25">
      <c r="M158" s="124"/>
      <c r="N158" s="124"/>
      <c r="O158" s="124"/>
      <c r="P158" s="124"/>
    </row>
    <row r="159" spans="13:16" ht="15.75" customHeight="1" x14ac:dyDescent="0.25">
      <c r="M159" s="124"/>
      <c r="N159" s="124"/>
      <c r="O159" s="124"/>
      <c r="P159" s="124"/>
    </row>
    <row r="160" spans="13:16" ht="15.75" customHeight="1" x14ac:dyDescent="0.25">
      <c r="M160" s="124"/>
      <c r="N160" s="124"/>
      <c r="O160" s="124"/>
      <c r="P160" s="124"/>
    </row>
    <row r="161" spans="13:16" ht="15.75" customHeight="1" x14ac:dyDescent="0.25">
      <c r="M161" s="124"/>
      <c r="N161" s="124"/>
      <c r="O161" s="124"/>
      <c r="P161" s="124"/>
    </row>
    <row r="162" spans="13:16" ht="15.75" customHeight="1" x14ac:dyDescent="0.25">
      <c r="M162" s="124"/>
      <c r="N162" s="124"/>
      <c r="O162" s="124"/>
      <c r="P162" s="124"/>
    </row>
    <row r="163" spans="13:16" ht="15.75" customHeight="1" x14ac:dyDescent="0.25">
      <c r="M163" s="124"/>
      <c r="N163" s="124"/>
      <c r="O163" s="124"/>
      <c r="P163" s="124"/>
    </row>
    <row r="164" spans="13:16" ht="15.75" customHeight="1" x14ac:dyDescent="0.25">
      <c r="M164" s="124"/>
      <c r="N164" s="124"/>
      <c r="O164" s="124"/>
      <c r="P164" s="124"/>
    </row>
    <row r="165" spans="13:16" ht="15.75" customHeight="1" x14ac:dyDescent="0.25">
      <c r="M165" s="124"/>
      <c r="N165" s="124"/>
      <c r="O165" s="124"/>
      <c r="P165" s="124"/>
    </row>
    <row r="166" spans="13:16" ht="15.75" customHeight="1" x14ac:dyDescent="0.25">
      <c r="M166" s="124"/>
      <c r="N166" s="124"/>
      <c r="O166" s="124"/>
      <c r="P166" s="124"/>
    </row>
    <row r="167" spans="13:16" ht="15.75" customHeight="1" x14ac:dyDescent="0.25">
      <c r="M167" s="124"/>
      <c r="N167" s="124"/>
      <c r="O167" s="124"/>
      <c r="P167" s="124"/>
    </row>
    <row r="168" spans="13:16" ht="15.75" customHeight="1" x14ac:dyDescent="0.25">
      <c r="M168" s="124"/>
      <c r="N168" s="124"/>
      <c r="O168" s="124"/>
      <c r="P168" s="124"/>
    </row>
    <row r="169" spans="13:16" ht="15.75" customHeight="1" x14ac:dyDescent="0.25">
      <c r="M169" s="124"/>
      <c r="N169" s="124"/>
      <c r="O169" s="124"/>
      <c r="P169" s="124"/>
    </row>
    <row r="170" spans="13:16" ht="15.75" customHeight="1" x14ac:dyDescent="0.25">
      <c r="M170" s="124"/>
      <c r="N170" s="124"/>
      <c r="O170" s="124"/>
      <c r="P170" s="124"/>
    </row>
    <row r="171" spans="13:16" ht="15.75" customHeight="1" x14ac:dyDescent="0.25">
      <c r="M171" s="124"/>
      <c r="N171" s="124"/>
      <c r="O171" s="124"/>
      <c r="P171" s="124"/>
    </row>
    <row r="172" spans="13:16" ht="15.75" customHeight="1" x14ac:dyDescent="0.25">
      <c r="M172" s="124"/>
      <c r="N172" s="124"/>
      <c r="O172" s="124"/>
      <c r="P172" s="124"/>
    </row>
    <row r="173" spans="13:16" ht="15.75" customHeight="1" x14ac:dyDescent="0.25">
      <c r="M173" s="124"/>
      <c r="N173" s="124"/>
      <c r="O173" s="124"/>
      <c r="P173" s="124"/>
    </row>
    <row r="174" spans="13:16" ht="15.75" customHeight="1" x14ac:dyDescent="0.25">
      <c r="M174" s="124"/>
      <c r="N174" s="124"/>
      <c r="O174" s="124"/>
      <c r="P174" s="124"/>
    </row>
    <row r="175" spans="13:16" ht="15.75" customHeight="1" x14ac:dyDescent="0.25">
      <c r="M175" s="124"/>
      <c r="N175" s="124"/>
      <c r="O175" s="124"/>
      <c r="P175" s="124"/>
    </row>
    <row r="176" spans="13:16" ht="15.75" customHeight="1" x14ac:dyDescent="0.25">
      <c r="M176" s="124"/>
      <c r="N176" s="124"/>
      <c r="O176" s="124"/>
      <c r="P176" s="124"/>
    </row>
    <row r="177" spans="13:16" ht="15.75" customHeight="1" x14ac:dyDescent="0.25">
      <c r="M177" s="124"/>
      <c r="N177" s="124"/>
      <c r="O177" s="124"/>
      <c r="P177" s="124"/>
    </row>
    <row r="178" spans="13:16" ht="15.75" customHeight="1" x14ac:dyDescent="0.25">
      <c r="M178" s="124"/>
      <c r="N178" s="124"/>
      <c r="O178" s="124"/>
      <c r="P178" s="124"/>
    </row>
    <row r="179" spans="13:16" ht="15.75" customHeight="1" x14ac:dyDescent="0.25">
      <c r="M179" s="124"/>
      <c r="N179" s="124"/>
      <c r="O179" s="124"/>
      <c r="P179" s="124"/>
    </row>
    <row r="180" spans="13:16" ht="15.75" customHeight="1" x14ac:dyDescent="0.25">
      <c r="M180" s="124"/>
      <c r="N180" s="124"/>
      <c r="O180" s="124"/>
      <c r="P180" s="124"/>
    </row>
    <row r="181" spans="13:16" ht="15.75" customHeight="1" x14ac:dyDescent="0.25">
      <c r="M181" s="124"/>
      <c r="N181" s="124"/>
      <c r="O181" s="124"/>
      <c r="P181" s="124"/>
    </row>
    <row r="182" spans="13:16" ht="15.75" customHeight="1" x14ac:dyDescent="0.25">
      <c r="M182" s="124"/>
      <c r="N182" s="124"/>
      <c r="O182" s="124"/>
      <c r="P182" s="124"/>
    </row>
    <row r="183" spans="13:16" ht="15.75" customHeight="1" x14ac:dyDescent="0.25">
      <c r="M183" s="124"/>
      <c r="N183" s="124"/>
      <c r="O183" s="124"/>
      <c r="P183" s="124"/>
    </row>
    <row r="184" spans="13:16" ht="15.75" customHeight="1" x14ac:dyDescent="0.25">
      <c r="M184" s="124"/>
      <c r="N184" s="124"/>
      <c r="O184" s="124"/>
      <c r="P184" s="124"/>
    </row>
    <row r="185" spans="13:16" ht="15.75" customHeight="1" x14ac:dyDescent="0.25">
      <c r="M185" s="124"/>
      <c r="N185" s="124"/>
      <c r="O185" s="124"/>
      <c r="P185" s="124"/>
    </row>
    <row r="186" spans="13:16" ht="15.75" customHeight="1" x14ac:dyDescent="0.25">
      <c r="M186" s="124"/>
      <c r="N186" s="124"/>
      <c r="O186" s="124"/>
      <c r="P186" s="124"/>
    </row>
    <row r="187" spans="13:16" ht="15.75" customHeight="1" x14ac:dyDescent="0.25">
      <c r="M187" s="124"/>
      <c r="N187" s="124"/>
      <c r="O187" s="124"/>
      <c r="P187" s="124"/>
    </row>
    <row r="188" spans="13:16" ht="15.75" customHeight="1" x14ac:dyDescent="0.25">
      <c r="M188" s="124"/>
      <c r="N188" s="124"/>
      <c r="O188" s="124"/>
      <c r="P188" s="124"/>
    </row>
    <row r="189" spans="13:16" ht="15.75" customHeight="1" x14ac:dyDescent="0.25">
      <c r="M189" s="124"/>
      <c r="N189" s="124"/>
      <c r="O189" s="124"/>
      <c r="P189" s="124"/>
    </row>
    <row r="190" spans="13:16" ht="15.75" customHeight="1" x14ac:dyDescent="0.25">
      <c r="M190" s="124"/>
      <c r="N190" s="124"/>
      <c r="O190" s="124"/>
      <c r="P190" s="124"/>
    </row>
    <row r="191" spans="13:16" ht="15.75" customHeight="1" x14ac:dyDescent="0.25">
      <c r="M191" s="124"/>
      <c r="N191" s="124"/>
      <c r="O191" s="124"/>
      <c r="P191" s="124"/>
    </row>
    <row r="192" spans="13:16" ht="15.75" customHeight="1" x14ac:dyDescent="0.25">
      <c r="M192" s="124"/>
      <c r="N192" s="124"/>
      <c r="O192" s="124"/>
      <c r="P192" s="124"/>
    </row>
    <row r="193" spans="13:16" ht="15.75" customHeight="1" x14ac:dyDescent="0.25">
      <c r="M193" s="124"/>
      <c r="N193" s="124"/>
      <c r="O193" s="124"/>
      <c r="P193" s="124"/>
    </row>
    <row r="194" spans="13:16" ht="15.75" customHeight="1" x14ac:dyDescent="0.25">
      <c r="M194" s="124"/>
      <c r="N194" s="124"/>
      <c r="O194" s="124"/>
      <c r="P194" s="124"/>
    </row>
    <row r="195" spans="13:16" ht="15.75" customHeight="1" x14ac:dyDescent="0.25">
      <c r="M195" s="124"/>
      <c r="N195" s="124"/>
      <c r="O195" s="124"/>
      <c r="P195" s="124"/>
    </row>
    <row r="196" spans="13:16" ht="15.75" customHeight="1" x14ac:dyDescent="0.25">
      <c r="M196" s="124"/>
      <c r="N196" s="124"/>
      <c r="O196" s="124"/>
      <c r="P196" s="124"/>
    </row>
    <row r="197" spans="13:16" ht="15.75" customHeight="1" x14ac:dyDescent="0.25">
      <c r="M197" s="124"/>
      <c r="N197" s="124"/>
      <c r="O197" s="124"/>
      <c r="P197" s="124"/>
    </row>
    <row r="198" spans="13:16" ht="15.75" customHeight="1" x14ac:dyDescent="0.25">
      <c r="M198" s="124"/>
      <c r="N198" s="124"/>
      <c r="O198" s="124"/>
      <c r="P198" s="124"/>
    </row>
    <row r="199" spans="13:16" ht="15.75" customHeight="1" x14ac:dyDescent="0.25">
      <c r="M199" s="124"/>
      <c r="N199" s="124"/>
      <c r="O199" s="124"/>
      <c r="P199" s="124"/>
    </row>
    <row r="200" spans="13:16" ht="15.75" customHeight="1" x14ac:dyDescent="0.25">
      <c r="M200" s="124"/>
      <c r="N200" s="124"/>
      <c r="O200" s="124"/>
      <c r="P200" s="124"/>
    </row>
    <row r="201" spans="13:16" ht="15.75" customHeight="1" x14ac:dyDescent="0.25">
      <c r="M201" s="124"/>
      <c r="N201" s="124"/>
      <c r="O201" s="124"/>
      <c r="P201" s="124"/>
    </row>
    <row r="202" spans="13:16" ht="15.75" customHeight="1" x14ac:dyDescent="0.25">
      <c r="M202" s="124"/>
      <c r="N202" s="124"/>
      <c r="O202" s="124"/>
      <c r="P202" s="124"/>
    </row>
    <row r="203" spans="13:16" ht="15.75" customHeight="1" x14ac:dyDescent="0.25">
      <c r="M203" s="124"/>
      <c r="N203" s="124"/>
      <c r="O203" s="124"/>
      <c r="P203" s="124"/>
    </row>
    <row r="204" spans="13:16" ht="15.75" customHeight="1" x14ac:dyDescent="0.25">
      <c r="M204" s="124"/>
      <c r="N204" s="124"/>
      <c r="O204" s="124"/>
      <c r="P204" s="124"/>
    </row>
    <row r="205" spans="13:16" ht="15.75" customHeight="1" x14ac:dyDescent="0.25">
      <c r="M205" s="124"/>
      <c r="N205" s="124"/>
      <c r="O205" s="124"/>
      <c r="P205" s="124"/>
    </row>
    <row r="206" spans="13:16" ht="15.75" customHeight="1" x14ac:dyDescent="0.25">
      <c r="M206" s="124"/>
      <c r="N206" s="124"/>
      <c r="O206" s="124"/>
      <c r="P206" s="124"/>
    </row>
    <row r="207" spans="13:16" ht="15.75" customHeight="1" x14ac:dyDescent="0.25">
      <c r="M207" s="124"/>
      <c r="N207" s="124"/>
      <c r="O207" s="124"/>
      <c r="P207" s="124"/>
    </row>
    <row r="208" spans="13:16" ht="15.75" customHeight="1" x14ac:dyDescent="0.25">
      <c r="M208" s="124"/>
      <c r="N208" s="124"/>
      <c r="O208" s="124"/>
      <c r="P208" s="124"/>
    </row>
    <row r="209" spans="13:16" ht="15.75" customHeight="1" x14ac:dyDescent="0.25">
      <c r="M209" s="124"/>
      <c r="N209" s="124"/>
      <c r="O209" s="124"/>
      <c r="P209" s="124"/>
    </row>
    <row r="210" spans="13:16" ht="15.75" customHeight="1" x14ac:dyDescent="0.25">
      <c r="M210" s="124"/>
      <c r="N210" s="124"/>
      <c r="O210" s="124"/>
      <c r="P210" s="124"/>
    </row>
    <row r="211" spans="13:16" ht="15.75" customHeight="1" x14ac:dyDescent="0.25">
      <c r="M211" s="124"/>
      <c r="N211" s="124"/>
      <c r="O211" s="124"/>
      <c r="P211" s="124"/>
    </row>
    <row r="212" spans="13:16" ht="15.75" customHeight="1" x14ac:dyDescent="0.25">
      <c r="M212" s="124"/>
      <c r="N212" s="124"/>
      <c r="O212" s="124"/>
      <c r="P212" s="124"/>
    </row>
    <row r="213" spans="13:16" ht="15.75" customHeight="1" x14ac:dyDescent="0.25">
      <c r="M213" s="124"/>
      <c r="N213" s="124"/>
      <c r="O213" s="124"/>
      <c r="P213" s="124"/>
    </row>
    <row r="214" spans="13:16" ht="15.75" customHeight="1" x14ac:dyDescent="0.25">
      <c r="M214" s="124"/>
      <c r="N214" s="124"/>
      <c r="O214" s="124"/>
      <c r="P214" s="124"/>
    </row>
    <row r="215" spans="13:16" ht="15.75" customHeight="1" x14ac:dyDescent="0.25">
      <c r="M215" s="124"/>
      <c r="N215" s="124"/>
      <c r="O215" s="124"/>
      <c r="P215" s="124"/>
    </row>
    <row r="216" spans="13:16" ht="15.75" customHeight="1" x14ac:dyDescent="0.25">
      <c r="M216" s="124"/>
      <c r="N216" s="124"/>
      <c r="O216" s="124"/>
      <c r="P216" s="124"/>
    </row>
    <row r="217" spans="13:16" ht="15.75" customHeight="1" x14ac:dyDescent="0.25">
      <c r="M217" s="124"/>
      <c r="N217" s="124"/>
      <c r="O217" s="124"/>
      <c r="P217" s="124"/>
    </row>
    <row r="218" spans="13:16" ht="15.75" customHeight="1" x14ac:dyDescent="0.25">
      <c r="M218" s="124"/>
      <c r="N218" s="124"/>
      <c r="O218" s="124"/>
      <c r="P218" s="124"/>
    </row>
    <row r="219" spans="13:16" ht="15.75" customHeight="1" x14ac:dyDescent="0.25">
      <c r="M219" s="124"/>
      <c r="N219" s="124"/>
      <c r="O219" s="124"/>
      <c r="P219" s="124"/>
    </row>
    <row r="220" spans="13:16" ht="15.75" customHeight="1" x14ac:dyDescent="0.25">
      <c r="M220" s="124"/>
      <c r="N220" s="124"/>
      <c r="O220" s="124"/>
      <c r="P220" s="124"/>
    </row>
    <row r="221" spans="13:16" ht="15.75" customHeight="1" x14ac:dyDescent="0.25">
      <c r="M221" s="124"/>
      <c r="N221" s="124"/>
      <c r="O221" s="124"/>
      <c r="P221" s="124"/>
    </row>
    <row r="222" spans="13:16" ht="15.75" customHeight="1" x14ac:dyDescent="0.25">
      <c r="M222" s="124"/>
      <c r="N222" s="124"/>
      <c r="O222" s="124"/>
      <c r="P222" s="124"/>
    </row>
    <row r="223" spans="13:16" ht="15.75" customHeight="1" x14ac:dyDescent="0.25">
      <c r="M223" s="124"/>
      <c r="N223" s="124"/>
      <c r="O223" s="124"/>
      <c r="P223" s="124"/>
    </row>
    <row r="224" spans="13:16" ht="15.75" customHeight="1" x14ac:dyDescent="0.25">
      <c r="M224" s="124"/>
      <c r="N224" s="124"/>
      <c r="O224" s="124"/>
      <c r="P224" s="124"/>
    </row>
    <row r="225" spans="13:16" ht="15.75" customHeight="1" x14ac:dyDescent="0.25">
      <c r="M225" s="124"/>
      <c r="N225" s="124"/>
      <c r="O225" s="124"/>
      <c r="P225" s="124"/>
    </row>
    <row r="226" spans="13:16" ht="15.75" customHeight="1" x14ac:dyDescent="0.25">
      <c r="M226" s="124"/>
      <c r="N226" s="124"/>
      <c r="O226" s="124"/>
      <c r="P226" s="124"/>
    </row>
    <row r="227" spans="13:16" ht="15.75" customHeight="1" x14ac:dyDescent="0.25">
      <c r="M227" s="124"/>
      <c r="N227" s="124"/>
      <c r="O227" s="124"/>
      <c r="P227" s="124"/>
    </row>
    <row r="228" spans="13:16" ht="15.75" customHeight="1" x14ac:dyDescent="0.25">
      <c r="M228" s="124"/>
      <c r="N228" s="124"/>
      <c r="O228" s="124"/>
      <c r="P228" s="124"/>
    </row>
    <row r="229" spans="13:16" ht="15.75" customHeight="1" x14ac:dyDescent="0.25">
      <c r="M229" s="124"/>
      <c r="N229" s="124"/>
      <c r="O229" s="124"/>
      <c r="P229" s="124"/>
    </row>
    <row r="230" spans="13:16" ht="15.75" customHeight="1" x14ac:dyDescent="0.25">
      <c r="M230" s="124"/>
      <c r="N230" s="124"/>
      <c r="O230" s="124"/>
      <c r="P230" s="124"/>
    </row>
    <row r="231" spans="13:16" ht="15.75" customHeight="1" x14ac:dyDescent="0.25">
      <c r="M231" s="124"/>
      <c r="N231" s="124"/>
      <c r="O231" s="124"/>
      <c r="P231" s="124"/>
    </row>
    <row r="232" spans="13:16" ht="15.75" customHeight="1" x14ac:dyDescent="0.25">
      <c r="M232" s="124"/>
      <c r="N232" s="124"/>
      <c r="O232" s="124"/>
      <c r="P232" s="124"/>
    </row>
    <row r="233" spans="13:16" ht="15.75" customHeight="1" x14ac:dyDescent="0.25">
      <c r="M233" s="124"/>
      <c r="N233" s="124"/>
      <c r="O233" s="124"/>
      <c r="P233" s="124"/>
    </row>
    <row r="234" spans="13:16" ht="15.75" customHeight="1" x14ac:dyDescent="0.25">
      <c r="M234" s="124"/>
      <c r="N234" s="124"/>
      <c r="O234" s="124"/>
      <c r="P234" s="124"/>
    </row>
    <row r="235" spans="13:16" ht="15.75" customHeight="1" x14ac:dyDescent="0.25">
      <c r="M235" s="124"/>
      <c r="N235" s="124"/>
      <c r="O235" s="124"/>
      <c r="P235" s="124"/>
    </row>
    <row r="236" spans="13:16" ht="15.75" customHeight="1" x14ac:dyDescent="0.25">
      <c r="M236" s="124"/>
      <c r="N236" s="124"/>
      <c r="O236" s="124"/>
      <c r="P236" s="124"/>
    </row>
    <row r="237" spans="13:16" ht="15.75" customHeight="1" x14ac:dyDescent="0.25">
      <c r="M237" s="124"/>
      <c r="N237" s="124"/>
      <c r="O237" s="124"/>
      <c r="P237" s="124"/>
    </row>
    <row r="238" spans="13:16" ht="15.75" customHeight="1" x14ac:dyDescent="0.25">
      <c r="M238" s="124"/>
      <c r="N238" s="124"/>
      <c r="O238" s="124"/>
      <c r="P238" s="124"/>
    </row>
    <row r="239" spans="13:16" ht="15.75" customHeight="1" x14ac:dyDescent="0.25">
      <c r="M239" s="124"/>
      <c r="N239" s="124"/>
      <c r="O239" s="124"/>
      <c r="P239" s="124"/>
    </row>
    <row r="240" spans="13:16" ht="15.75" customHeight="1" x14ac:dyDescent="0.25">
      <c r="M240" s="124"/>
      <c r="N240" s="124"/>
      <c r="O240" s="124"/>
      <c r="P240" s="124"/>
    </row>
    <row r="241" spans="13:16" ht="15.75" customHeight="1" x14ac:dyDescent="0.25">
      <c r="M241" s="124"/>
      <c r="N241" s="124"/>
      <c r="O241" s="124"/>
      <c r="P241" s="124"/>
    </row>
    <row r="242" spans="13:16" ht="15.75" customHeight="1" x14ac:dyDescent="0.25">
      <c r="M242" s="124"/>
      <c r="N242" s="124"/>
      <c r="O242" s="124"/>
      <c r="P242" s="124"/>
    </row>
    <row r="243" spans="13:16" ht="15.75" customHeight="1" x14ac:dyDescent="0.25">
      <c r="M243" s="124"/>
      <c r="N243" s="124"/>
      <c r="O243" s="124"/>
      <c r="P243" s="124"/>
    </row>
    <row r="244" spans="13:16" ht="15.75" customHeight="1" x14ac:dyDescent="0.25">
      <c r="M244" s="124"/>
      <c r="N244" s="124"/>
      <c r="O244" s="124"/>
      <c r="P244" s="124"/>
    </row>
    <row r="245" spans="13:16" ht="15.75" customHeight="1" x14ac:dyDescent="0.25">
      <c r="M245" s="124"/>
      <c r="N245" s="124"/>
      <c r="O245" s="124"/>
      <c r="P245" s="124"/>
    </row>
    <row r="246" spans="13:16" ht="15.75" customHeight="1" x14ac:dyDescent="0.25">
      <c r="M246" s="124"/>
      <c r="N246" s="124"/>
      <c r="O246" s="124"/>
      <c r="P246" s="124"/>
    </row>
    <row r="247" spans="13:16" ht="15.75" customHeight="1" x14ac:dyDescent="0.25">
      <c r="M247" s="124"/>
      <c r="N247" s="124"/>
      <c r="O247" s="124"/>
      <c r="P247" s="124"/>
    </row>
    <row r="248" spans="13:16" ht="15.75" customHeight="1" x14ac:dyDescent="0.2"/>
    <row r="249" spans="13:16" ht="15.75" customHeight="1" x14ac:dyDescent="0.2"/>
    <row r="250" spans="13:16" ht="15.75" customHeight="1" x14ac:dyDescent="0.2"/>
    <row r="251" spans="13:16" ht="15.75" customHeight="1" x14ac:dyDescent="0.2"/>
    <row r="252" spans="13:16" ht="15.75" customHeight="1" x14ac:dyDescent="0.2"/>
    <row r="253" spans="13:16" ht="15.75" customHeight="1" x14ac:dyDescent="0.2"/>
    <row r="254" spans="13:16" ht="15.75" customHeight="1" x14ac:dyDescent="0.2"/>
    <row r="255" spans="13:16" ht="15.75" customHeight="1" x14ac:dyDescent="0.2"/>
    <row r="256" spans="13:1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2">
    <mergeCell ref="D3:G3"/>
    <mergeCell ref="D4:G4"/>
    <mergeCell ref="A1:L1"/>
    <mergeCell ref="M1:N1"/>
    <mergeCell ref="O1:P1"/>
    <mergeCell ref="B3:C9"/>
    <mergeCell ref="D9:G9"/>
    <mergeCell ref="Q46:R46"/>
    <mergeCell ref="S46:T46"/>
    <mergeCell ref="Q47:R47"/>
    <mergeCell ref="S47:T47"/>
    <mergeCell ref="D5:G5"/>
    <mergeCell ref="D6:G6"/>
    <mergeCell ref="D7:G7"/>
    <mergeCell ref="D8:G8"/>
    <mergeCell ref="M44:N44"/>
    <mergeCell ref="O44:P44"/>
    <mergeCell ref="Q44:R44"/>
    <mergeCell ref="S44:T44"/>
    <mergeCell ref="O45:P45"/>
    <mergeCell ref="Q45:R45"/>
    <mergeCell ref="S45:T45"/>
    <mergeCell ref="Q12:R12"/>
    <mergeCell ref="S12:T12"/>
    <mergeCell ref="A11:L11"/>
    <mergeCell ref="M11:N11"/>
    <mergeCell ref="O11:P11"/>
    <mergeCell ref="A12:A13"/>
    <mergeCell ref="B12:B13"/>
    <mergeCell ref="E12:F12"/>
    <mergeCell ref="G12:H12"/>
    <mergeCell ref="O49:P49"/>
    <mergeCell ref="K47:L47"/>
    <mergeCell ref="M47:N47"/>
    <mergeCell ref="E46:F46"/>
    <mergeCell ref="G46:H46"/>
    <mergeCell ref="I46:J46"/>
    <mergeCell ref="K46:L46"/>
    <mergeCell ref="M46:N46"/>
    <mergeCell ref="O46:P46"/>
    <mergeCell ref="E47:F47"/>
    <mergeCell ref="O47:P47"/>
    <mergeCell ref="M45:N45"/>
    <mergeCell ref="G47:H47"/>
    <mergeCell ref="I47:J47"/>
    <mergeCell ref="A49:L49"/>
    <mergeCell ref="M49:N49"/>
    <mergeCell ref="E44:F44"/>
    <mergeCell ref="G44:H44"/>
    <mergeCell ref="I44:J44"/>
    <mergeCell ref="K44:L44"/>
    <mergeCell ref="E45:F45"/>
    <mergeCell ref="G45:H45"/>
    <mergeCell ref="I45:J45"/>
    <mergeCell ref="K45:L45"/>
    <mergeCell ref="I12:J12"/>
    <mergeCell ref="K12:L12"/>
    <mergeCell ref="A43:L43"/>
    <mergeCell ref="M43:N43"/>
    <mergeCell ref="O43:P43"/>
    <mergeCell ref="M12:N12"/>
    <mergeCell ref="O12:P12"/>
  </mergeCells>
  <conditionalFormatting sqref="U14:U42">
    <cfRule type="cellIs" dxfId="0" priority="1" operator="equal">
      <formula>"100%"</formula>
    </cfRule>
  </conditionalFormatting>
  <pageMargins left="0.25" right="0.25" top="0.75" bottom="0.75" header="0" footer="0"/>
  <pageSetup paperSize="9" fitToHeight="0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74E13"/>
    <pageSetUpPr fitToPage="1"/>
  </sheetPr>
  <dimension ref="A1:M972"/>
  <sheetViews>
    <sheetView showGridLines="0" topLeftCell="A28" workbookViewId="0">
      <selection activeCell="A37" sqref="A37:XFD64"/>
    </sheetView>
  </sheetViews>
  <sheetFormatPr defaultColWidth="14.42578125" defaultRowHeight="15" customHeight="1" x14ac:dyDescent="0.2"/>
  <cols>
    <col min="1" max="6" width="14.42578125" customWidth="1"/>
  </cols>
  <sheetData>
    <row r="1" spans="1:13" ht="18.75" x14ac:dyDescent="0.3">
      <c r="A1" s="306"/>
      <c r="B1" s="243"/>
      <c r="C1" s="243"/>
      <c r="D1" s="243"/>
      <c r="E1" s="243"/>
      <c r="F1" s="243"/>
      <c r="G1" s="243"/>
      <c r="H1" s="243"/>
      <c r="I1" s="243"/>
      <c r="J1" s="243"/>
      <c r="K1" s="244"/>
    </row>
    <row r="2" spans="1:13" ht="12.75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15" customHeight="1" x14ac:dyDescent="0.2">
      <c r="A3" s="257"/>
      <c r="C3" s="258" t="s">
        <v>0</v>
      </c>
      <c r="D3" s="259"/>
      <c r="E3" s="264" t="s">
        <v>1</v>
      </c>
      <c r="F3" s="250"/>
      <c r="G3" s="250"/>
      <c r="H3" s="251"/>
      <c r="I3" s="222"/>
      <c r="J3" s="4"/>
      <c r="K3" s="4"/>
      <c r="L3" s="4"/>
      <c r="M3" s="4"/>
    </row>
    <row r="4" spans="1:13" ht="15" customHeight="1" x14ac:dyDescent="0.25">
      <c r="A4" s="256"/>
      <c r="C4" s="260"/>
      <c r="D4" s="261"/>
      <c r="E4" s="265" t="s">
        <v>2</v>
      </c>
      <c r="F4" s="250"/>
      <c r="G4" s="250"/>
      <c r="H4" s="251"/>
      <c r="I4" s="222"/>
      <c r="J4" s="4"/>
      <c r="K4" s="4"/>
      <c r="L4" s="228"/>
      <c r="M4" s="229"/>
    </row>
    <row r="5" spans="1:13" ht="15" customHeight="1" x14ac:dyDescent="0.25">
      <c r="A5" s="256"/>
      <c r="C5" s="260"/>
      <c r="D5" s="261"/>
      <c r="E5" s="249" t="s">
        <v>4</v>
      </c>
      <c r="F5" s="250"/>
      <c r="G5" s="250"/>
      <c r="H5" s="251"/>
      <c r="I5" s="222"/>
      <c r="J5" s="4"/>
      <c r="K5" s="4"/>
      <c r="L5" s="312"/>
      <c r="M5" s="256"/>
    </row>
    <row r="6" spans="1:13" ht="15" customHeight="1" x14ac:dyDescent="0.25">
      <c r="A6" s="256"/>
      <c r="C6" s="260"/>
      <c r="D6" s="261"/>
      <c r="E6" s="252" t="s">
        <v>5</v>
      </c>
      <c r="F6" s="250"/>
      <c r="G6" s="250"/>
      <c r="H6" s="251"/>
      <c r="I6" s="176"/>
      <c r="L6" s="230"/>
      <c r="M6" s="231"/>
    </row>
    <row r="7" spans="1:13" ht="15" customHeight="1" x14ac:dyDescent="0.25">
      <c r="A7" s="256"/>
      <c r="C7" s="260"/>
      <c r="D7" s="261"/>
      <c r="E7" s="253"/>
      <c r="F7" s="250"/>
      <c r="G7" s="250"/>
      <c r="H7" s="251"/>
      <c r="I7" s="176"/>
      <c r="L7" s="230"/>
      <c r="M7" s="232"/>
    </row>
    <row r="8" spans="1:13" ht="13.5" customHeight="1" x14ac:dyDescent="0.25">
      <c r="A8" s="256"/>
      <c r="C8" s="260"/>
      <c r="D8" s="261"/>
      <c r="E8" s="254" t="s">
        <v>9</v>
      </c>
      <c r="F8" s="250"/>
      <c r="G8" s="250"/>
      <c r="H8" s="251"/>
      <c r="I8" s="176"/>
      <c r="J8" s="4"/>
      <c r="K8" s="4"/>
      <c r="L8" s="4"/>
      <c r="M8" s="4"/>
    </row>
    <row r="9" spans="1:13" ht="15" customHeight="1" x14ac:dyDescent="0.2">
      <c r="A9" s="256"/>
      <c r="C9" s="262"/>
      <c r="D9" s="263"/>
      <c r="E9" s="273"/>
      <c r="F9" s="250"/>
      <c r="G9" s="250"/>
      <c r="H9" s="251"/>
      <c r="I9" s="222"/>
      <c r="J9" s="4"/>
      <c r="K9" s="4"/>
      <c r="L9" s="4"/>
      <c r="M9" s="4"/>
    </row>
    <row r="10" spans="1:13" ht="18.75" x14ac:dyDescent="0.3">
      <c r="A10" s="233"/>
      <c r="B10" s="233"/>
      <c r="C10" s="233"/>
      <c r="D10" s="233"/>
      <c r="E10" s="233"/>
      <c r="F10" s="233"/>
      <c r="G10" s="233"/>
      <c r="H10" s="233"/>
      <c r="I10" s="233"/>
      <c r="J10" s="233"/>
      <c r="K10" s="233"/>
    </row>
    <row r="11" spans="1:13" ht="18.75" x14ac:dyDescent="0.3">
      <c r="A11" s="306" t="s">
        <v>1167</v>
      </c>
      <c r="B11" s="243"/>
      <c r="C11" s="243"/>
      <c r="D11" s="243"/>
      <c r="E11" s="243"/>
      <c r="F11" s="243"/>
      <c r="G11" s="243"/>
      <c r="H11" s="243"/>
      <c r="I11" s="243"/>
      <c r="J11" s="243"/>
      <c r="K11" s="244"/>
    </row>
    <row r="12" spans="1:13" ht="12.75" x14ac:dyDescent="0.2">
      <c r="A12" s="307" t="s">
        <v>1168</v>
      </c>
      <c r="B12" s="297"/>
      <c r="C12" s="297"/>
      <c r="D12" s="297"/>
      <c r="E12" s="297"/>
      <c r="F12" s="297"/>
      <c r="G12" s="297"/>
      <c r="H12" s="297"/>
      <c r="I12" s="297"/>
      <c r="J12" s="297"/>
      <c r="K12" s="284"/>
    </row>
    <row r="13" spans="1:13" ht="12.75" x14ac:dyDescent="0.2">
      <c r="A13" s="308" t="s">
        <v>10</v>
      </c>
      <c r="B13" s="309" t="s">
        <v>1169</v>
      </c>
      <c r="C13" s="286"/>
      <c r="D13" s="259"/>
      <c r="E13" s="308" t="s">
        <v>1170</v>
      </c>
      <c r="F13" s="308" t="s">
        <v>1171</v>
      </c>
      <c r="G13" s="308" t="s">
        <v>1172</v>
      </c>
      <c r="H13" s="308" t="s">
        <v>1173</v>
      </c>
      <c r="I13" s="307" t="s">
        <v>1174</v>
      </c>
      <c r="J13" s="297"/>
      <c r="K13" s="284"/>
    </row>
    <row r="14" spans="1:13" ht="12.75" x14ac:dyDescent="0.2">
      <c r="A14" s="300"/>
      <c r="B14" s="262"/>
      <c r="C14" s="305"/>
      <c r="D14" s="263"/>
      <c r="E14" s="300"/>
      <c r="F14" s="300"/>
      <c r="G14" s="300"/>
      <c r="H14" s="300"/>
      <c r="I14" s="135" t="s">
        <v>1175</v>
      </c>
      <c r="J14" s="135" t="s">
        <v>1176</v>
      </c>
      <c r="K14" s="135" t="s">
        <v>1177</v>
      </c>
    </row>
    <row r="15" spans="1:13" x14ac:dyDescent="0.25">
      <c r="A15" s="234">
        <v>1</v>
      </c>
      <c r="B15" s="303" t="s">
        <v>1178</v>
      </c>
      <c r="C15" s="297"/>
      <c r="D15" s="284"/>
      <c r="E15" s="143"/>
      <c r="F15" s="235">
        <v>0.04</v>
      </c>
      <c r="G15" s="143"/>
      <c r="H15" s="234" t="s">
        <v>1179</v>
      </c>
      <c r="I15" s="236">
        <v>0.03</v>
      </c>
      <c r="J15" s="236">
        <v>0.04</v>
      </c>
      <c r="K15" s="236">
        <v>5.5E-2</v>
      </c>
    </row>
    <row r="16" spans="1:13" x14ac:dyDescent="0.25">
      <c r="A16" s="234">
        <v>2</v>
      </c>
      <c r="B16" s="303" t="s">
        <v>1180</v>
      </c>
      <c r="C16" s="297"/>
      <c r="D16" s="284"/>
      <c r="E16" s="143"/>
      <c r="F16" s="235">
        <v>8.0000000000000002E-3</v>
      </c>
      <c r="G16" s="143"/>
      <c r="H16" s="234" t="s">
        <v>1179</v>
      </c>
      <c r="I16" s="236">
        <v>8.0000000000000002E-3</v>
      </c>
      <c r="J16" s="236">
        <v>8.0000000000000002E-3</v>
      </c>
      <c r="K16" s="236">
        <v>0.01</v>
      </c>
    </row>
    <row r="17" spans="1:11" x14ac:dyDescent="0.25">
      <c r="A17" s="234">
        <v>3</v>
      </c>
      <c r="B17" s="303" t="s">
        <v>1181</v>
      </c>
      <c r="C17" s="297"/>
      <c r="D17" s="284"/>
      <c r="E17" s="143"/>
      <c r="F17" s="235">
        <v>1.2699999999999999E-2</v>
      </c>
      <c r="G17" s="143"/>
      <c r="H17" s="234" t="s">
        <v>1179</v>
      </c>
      <c r="I17" s="236">
        <v>9.7000000000000003E-3</v>
      </c>
      <c r="J17" s="236">
        <v>1.2699999999999999E-2</v>
      </c>
      <c r="K17" s="236">
        <v>1.2699999999999999E-2</v>
      </c>
    </row>
    <row r="18" spans="1:11" x14ac:dyDescent="0.25">
      <c r="A18" s="234">
        <v>4</v>
      </c>
      <c r="B18" s="303" t="s">
        <v>1182</v>
      </c>
      <c r="C18" s="297"/>
      <c r="D18" s="284"/>
      <c r="E18" s="143"/>
      <c r="F18" s="235">
        <v>1.23E-2</v>
      </c>
      <c r="G18" s="143"/>
      <c r="H18" s="234" t="s">
        <v>1179</v>
      </c>
      <c r="I18" s="236">
        <v>5.8999999999999999E-3</v>
      </c>
      <c r="J18" s="236">
        <v>1.23E-2</v>
      </c>
      <c r="K18" s="236">
        <v>1.3899999999999999E-2</v>
      </c>
    </row>
    <row r="19" spans="1:11" x14ac:dyDescent="0.25">
      <c r="A19" s="234">
        <v>5</v>
      </c>
      <c r="B19" s="303" t="s">
        <v>1183</v>
      </c>
      <c r="C19" s="297"/>
      <c r="D19" s="284"/>
      <c r="E19" s="143"/>
      <c r="F19" s="235">
        <v>7.0000000000000007E-2</v>
      </c>
      <c r="G19" s="143"/>
      <c r="H19" s="234" t="s">
        <v>1179</v>
      </c>
      <c r="I19" s="236">
        <v>6.1600000000000002E-2</v>
      </c>
      <c r="J19" s="236">
        <v>7.3999999999999996E-2</v>
      </c>
      <c r="K19" s="236">
        <v>8.9599999999999999E-2</v>
      </c>
    </row>
    <row r="20" spans="1:11" x14ac:dyDescent="0.25">
      <c r="A20" s="234">
        <v>6</v>
      </c>
      <c r="B20" s="303" t="s">
        <v>1184</v>
      </c>
      <c r="C20" s="297"/>
      <c r="D20" s="284"/>
      <c r="E20" s="143"/>
      <c r="F20" s="235">
        <f>SUM(F21:F24)</f>
        <v>0.10149999999999999</v>
      </c>
      <c r="G20" s="310" t="s">
        <v>1185</v>
      </c>
      <c r="H20" s="286"/>
      <c r="I20" s="286"/>
      <c r="J20" s="286"/>
      <c r="K20" s="259"/>
    </row>
    <row r="21" spans="1:11" ht="15.75" customHeight="1" x14ac:dyDescent="0.2">
      <c r="A21" s="237">
        <v>43836</v>
      </c>
      <c r="B21" s="303" t="s">
        <v>1186</v>
      </c>
      <c r="C21" s="297"/>
      <c r="D21" s="297"/>
      <c r="E21" s="284"/>
      <c r="F21" s="235">
        <v>6.4999999999999997E-3</v>
      </c>
      <c r="G21" s="260"/>
      <c r="H21" s="256"/>
      <c r="I21" s="256"/>
      <c r="J21" s="256"/>
      <c r="K21" s="261"/>
    </row>
    <row r="22" spans="1:11" ht="15.75" customHeight="1" x14ac:dyDescent="0.2">
      <c r="A22" s="237">
        <v>43867</v>
      </c>
      <c r="B22" s="303" t="s">
        <v>1187</v>
      </c>
      <c r="C22" s="297"/>
      <c r="D22" s="297"/>
      <c r="E22" s="284"/>
      <c r="F22" s="235">
        <v>0.03</v>
      </c>
      <c r="G22" s="260"/>
      <c r="H22" s="256"/>
      <c r="I22" s="256"/>
      <c r="J22" s="256"/>
      <c r="K22" s="261"/>
    </row>
    <row r="23" spans="1:11" ht="15.75" customHeight="1" x14ac:dyDescent="0.2">
      <c r="A23" s="237">
        <v>43896</v>
      </c>
      <c r="B23" s="303" t="s">
        <v>1188</v>
      </c>
      <c r="C23" s="297"/>
      <c r="D23" s="297"/>
      <c r="E23" s="284"/>
      <c r="F23" s="235">
        <v>0.02</v>
      </c>
      <c r="G23" s="260"/>
      <c r="H23" s="256"/>
      <c r="I23" s="256"/>
      <c r="J23" s="256"/>
      <c r="K23" s="261"/>
    </row>
    <row r="24" spans="1:11" ht="15.75" customHeight="1" x14ac:dyDescent="0.2">
      <c r="A24" s="237">
        <v>43927</v>
      </c>
      <c r="B24" s="303" t="s">
        <v>1189</v>
      </c>
      <c r="C24" s="297"/>
      <c r="D24" s="297"/>
      <c r="E24" s="284"/>
      <c r="F24" s="235">
        <v>4.4999999999999998E-2</v>
      </c>
      <c r="G24" s="260"/>
      <c r="H24" s="256"/>
      <c r="I24" s="256"/>
      <c r="J24" s="256"/>
      <c r="K24" s="261"/>
    </row>
    <row r="25" spans="1:11" ht="15.75" customHeight="1" x14ac:dyDescent="0.25">
      <c r="A25" s="304"/>
      <c r="B25" s="305"/>
      <c r="C25" s="305"/>
      <c r="D25" s="305"/>
      <c r="E25" s="305"/>
      <c r="F25" s="263"/>
      <c r="G25" s="260"/>
      <c r="H25" s="256"/>
      <c r="I25" s="256"/>
      <c r="J25" s="256"/>
      <c r="K25" s="261"/>
    </row>
    <row r="26" spans="1:11" ht="15.75" customHeight="1" x14ac:dyDescent="0.25">
      <c r="A26" s="307" t="s">
        <v>1190</v>
      </c>
      <c r="B26" s="297"/>
      <c r="C26" s="297"/>
      <c r="D26" s="284"/>
      <c r="E26" s="143"/>
      <c r="F26" s="143"/>
      <c r="G26" s="262"/>
      <c r="H26" s="305"/>
      <c r="I26" s="305"/>
      <c r="J26" s="305"/>
      <c r="K26" s="263"/>
    </row>
    <row r="27" spans="1:11" ht="15.75" customHeight="1" x14ac:dyDescent="0.25">
      <c r="A27" s="307" t="s">
        <v>1191</v>
      </c>
      <c r="B27" s="297"/>
      <c r="C27" s="297"/>
      <c r="D27" s="284"/>
      <c r="E27" s="143"/>
      <c r="F27" s="143"/>
      <c r="G27" s="303" t="s">
        <v>1192</v>
      </c>
      <c r="H27" s="297"/>
      <c r="I27" s="297"/>
      <c r="J27" s="297"/>
      <c r="K27" s="284"/>
    </row>
    <row r="28" spans="1:11" ht="15.75" customHeight="1" x14ac:dyDescent="0.2">
      <c r="A28" s="307" t="s">
        <v>1193</v>
      </c>
      <c r="B28" s="297"/>
      <c r="C28" s="297"/>
      <c r="D28" s="297"/>
      <c r="E28" s="284"/>
      <c r="F28" s="235">
        <f>ROUND((((1+(F15+F16+F17))*(1+F18)*(1+F19))/(1-F20))-1,4)</f>
        <v>0.2787</v>
      </c>
      <c r="G28" s="303" t="s">
        <v>1194</v>
      </c>
      <c r="H28" s="297"/>
      <c r="I28" s="297"/>
      <c r="J28" s="297"/>
      <c r="K28" s="284"/>
    </row>
    <row r="29" spans="1:11" ht="15.75" customHeight="1" x14ac:dyDescent="0.25">
      <c r="E29" s="124"/>
      <c r="F29" s="159"/>
      <c r="G29" s="303" t="s">
        <v>1195</v>
      </c>
      <c r="H29" s="297"/>
      <c r="I29" s="297"/>
      <c r="J29" s="297"/>
      <c r="K29" s="284"/>
    </row>
    <row r="30" spans="1:11" ht="15.75" customHeight="1" x14ac:dyDescent="0.25">
      <c r="A30" s="311" t="s">
        <v>1196</v>
      </c>
      <c r="B30" s="256"/>
      <c r="C30" s="256"/>
      <c r="D30" s="256"/>
      <c r="E30" s="124"/>
      <c r="F30" s="159"/>
      <c r="G30" s="303" t="s">
        <v>1197</v>
      </c>
      <c r="H30" s="297"/>
      <c r="I30" s="297"/>
      <c r="J30" s="297"/>
      <c r="K30" s="284"/>
    </row>
    <row r="31" spans="1:11" ht="15.75" customHeight="1" x14ac:dyDescent="0.25">
      <c r="A31" s="238" t="s">
        <v>1198</v>
      </c>
      <c r="B31" s="235">
        <v>0.2034</v>
      </c>
      <c r="C31" s="235">
        <v>0.22120000000000001</v>
      </c>
      <c r="D31" s="235">
        <v>0.25</v>
      </c>
      <c r="E31" s="124"/>
      <c r="F31" s="159"/>
      <c r="G31" s="303" t="s">
        <v>1199</v>
      </c>
      <c r="H31" s="297"/>
      <c r="I31" s="297"/>
      <c r="J31" s="297"/>
      <c r="K31" s="284"/>
    </row>
    <row r="32" spans="1:11" ht="15.75" customHeight="1" x14ac:dyDescent="0.25">
      <c r="A32" s="238" t="s">
        <v>1200</v>
      </c>
      <c r="B32" s="235">
        <v>0.2601</v>
      </c>
      <c r="C32" s="235">
        <v>0.2787</v>
      </c>
      <c r="D32" s="235">
        <v>0.30890000000000001</v>
      </c>
      <c r="E32" s="124"/>
      <c r="F32" s="159"/>
      <c r="G32" s="303" t="s">
        <v>1201</v>
      </c>
      <c r="H32" s="297"/>
      <c r="I32" s="297"/>
      <c r="J32" s="297"/>
      <c r="K32" s="284"/>
    </row>
    <row r="33" spans="1:11" ht="15.75" customHeight="1" x14ac:dyDescent="0.25">
      <c r="E33" s="124"/>
      <c r="F33" s="159"/>
      <c r="G33" s="303" t="s">
        <v>1202</v>
      </c>
      <c r="H33" s="297"/>
      <c r="I33" s="297"/>
      <c r="J33" s="297"/>
      <c r="K33" s="284"/>
    </row>
    <row r="34" spans="1:11" ht="15.75" customHeight="1" x14ac:dyDescent="0.25">
      <c r="E34" s="177"/>
      <c r="F34" s="160"/>
      <c r="G34" s="303" t="s">
        <v>1203</v>
      </c>
      <c r="H34" s="297"/>
      <c r="I34" s="297"/>
      <c r="J34" s="297"/>
      <c r="K34" s="284"/>
    </row>
    <row r="35" spans="1:11" ht="15.75" customHeight="1" x14ac:dyDescent="0.25">
      <c r="A35" s="304"/>
      <c r="B35" s="305"/>
      <c r="C35" s="305"/>
      <c r="D35" s="305"/>
      <c r="E35" s="305"/>
      <c r="F35" s="305"/>
      <c r="G35" s="305"/>
      <c r="H35" s="305"/>
      <c r="I35" s="305"/>
      <c r="J35" s="305"/>
      <c r="K35" s="263"/>
    </row>
    <row r="36" spans="1:11" ht="15.75" customHeight="1" x14ac:dyDescent="0.3">
      <c r="A36" s="306"/>
      <c r="B36" s="243"/>
      <c r="C36" s="243"/>
      <c r="D36" s="243"/>
      <c r="E36" s="243"/>
      <c r="F36" s="243"/>
      <c r="G36" s="243"/>
      <c r="H36" s="243"/>
      <c r="I36" s="243"/>
      <c r="J36" s="243"/>
      <c r="K36" s="244"/>
    </row>
    <row r="37" spans="1:11" ht="15.75" customHeight="1" x14ac:dyDescent="0.2"/>
    <row r="38" spans="1:11" ht="15.75" customHeight="1" x14ac:dyDescent="0.2"/>
    <row r="39" spans="1:11" ht="15.75" customHeight="1" x14ac:dyDescent="0.2"/>
    <row r="40" spans="1:11" ht="15.75" customHeight="1" x14ac:dyDescent="0.2"/>
    <row r="41" spans="1:11" ht="15.75" customHeight="1" x14ac:dyDescent="0.2"/>
    <row r="42" spans="1:11" ht="15.75" customHeight="1" x14ac:dyDescent="0.2"/>
    <row r="43" spans="1:11" ht="15.75" customHeight="1" x14ac:dyDescent="0.2"/>
    <row r="44" spans="1:11" ht="15.75" customHeight="1" x14ac:dyDescent="0.2"/>
    <row r="45" spans="1:11" ht="15.75" customHeight="1" x14ac:dyDescent="0.2"/>
    <row r="46" spans="1:11" ht="15.75" customHeight="1" x14ac:dyDescent="0.2"/>
    <row r="47" spans="1:11" ht="15.75" customHeight="1" x14ac:dyDescent="0.2"/>
    <row r="48" spans="1:11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</sheetData>
  <mergeCells count="46">
    <mergeCell ref="L5:M5"/>
    <mergeCell ref="E6:H6"/>
    <mergeCell ref="E7:H7"/>
    <mergeCell ref="E8:H8"/>
    <mergeCell ref="C3:D9"/>
    <mergeCell ref="E9:H9"/>
    <mergeCell ref="E5:H5"/>
    <mergeCell ref="E3:H3"/>
    <mergeCell ref="E4:H4"/>
    <mergeCell ref="A1:K1"/>
    <mergeCell ref="A3:A9"/>
    <mergeCell ref="G20:K26"/>
    <mergeCell ref="G27:K27"/>
    <mergeCell ref="G28:K28"/>
    <mergeCell ref="G29:K29"/>
    <mergeCell ref="G30:K30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B22:E22"/>
    <mergeCell ref="B23:E23"/>
    <mergeCell ref="B24:E24"/>
    <mergeCell ref="A25:F25"/>
    <mergeCell ref="A26:D26"/>
    <mergeCell ref="A11:K11"/>
    <mergeCell ref="A12:K12"/>
    <mergeCell ref="A13:A14"/>
    <mergeCell ref="B13:D14"/>
    <mergeCell ref="E13:E14"/>
    <mergeCell ref="F13:F14"/>
    <mergeCell ref="G13:G14"/>
    <mergeCell ref="H13:H14"/>
    <mergeCell ref="I13:K13"/>
    <mergeCell ref="A36:K36"/>
    <mergeCell ref="G31:K31"/>
    <mergeCell ref="G32:K32"/>
    <mergeCell ref="G33:K33"/>
    <mergeCell ref="G34:K34"/>
    <mergeCell ref="A35:K35"/>
  </mergeCells>
  <printOptions horizontalCentered="1" verticalCentered="1"/>
  <pageMargins left="0.7" right="0.7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ORÇAMENTO</vt:lpstr>
      <vt:lpstr>COMPOSIÇÕES</vt:lpstr>
      <vt:lpstr>CRONOGRAMA - OBRA</vt:lpstr>
      <vt:lpstr>BDI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ADM</cp:lastModifiedBy>
  <dcterms:created xsi:type="dcterms:W3CDTF">2020-01-10T10:10:48Z</dcterms:created>
  <dcterms:modified xsi:type="dcterms:W3CDTF">2024-06-11T17:26:39Z</dcterms:modified>
</cp:coreProperties>
</file>