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Outros computadores\Meu modelo Computador\proaf\Arquivo Licitacao\LICITAÇÕES 2022\Tomada de Preços 2022\TP 04 2022 - Equoterapia - CLM\Arquivos Eng\"/>
    </mc:Choice>
  </mc:AlternateContent>
  <bookViews>
    <workbookView xWindow="0" yWindow="0" windowWidth="16380" windowHeight="8190" tabRatio="500"/>
  </bookViews>
  <sheets>
    <sheet name="Orçamento Global" sheetId="1" r:id="rId1"/>
    <sheet name="Cronograma" sheetId="2" r:id="rId2"/>
    <sheet name="BDI" sheetId="3" r:id="rId3"/>
  </sheets>
  <calcPr calcId="162913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45" i="3" l="1"/>
  <c r="F53" i="3" s="1"/>
  <c r="H44" i="3"/>
  <c r="H43" i="3"/>
  <c r="H42" i="3"/>
  <c r="H41" i="3"/>
  <c r="H40" i="3"/>
  <c r="F20" i="3"/>
  <c r="F28" i="3" s="1"/>
  <c r="H19" i="3"/>
  <c r="H18" i="3"/>
  <c r="H17" i="3"/>
  <c r="H16" i="3"/>
  <c r="H15" i="3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K155" i="1"/>
  <c r="I155" i="1"/>
  <c r="F155" i="1"/>
  <c r="J155" i="1" s="1"/>
  <c r="L155" i="1" s="1"/>
  <c r="M155" i="1" s="1"/>
  <c r="K154" i="1"/>
  <c r="J154" i="1"/>
  <c r="L154" i="1" s="1"/>
  <c r="M154" i="1" s="1"/>
  <c r="I154" i="1"/>
  <c r="K153" i="1"/>
  <c r="J153" i="1"/>
  <c r="I153" i="1"/>
  <c r="K152" i="1"/>
  <c r="J152" i="1"/>
  <c r="L152" i="1" s="1"/>
  <c r="M152" i="1" s="1"/>
  <c r="I152" i="1"/>
  <c r="L151" i="1"/>
  <c r="M151" i="1" s="1"/>
  <c r="K151" i="1"/>
  <c r="J151" i="1"/>
  <c r="I151" i="1"/>
  <c r="I150" i="1"/>
  <c r="F150" i="1"/>
  <c r="K148" i="1"/>
  <c r="L148" i="1" s="1"/>
  <c r="M148" i="1" s="1"/>
  <c r="J148" i="1"/>
  <c r="I148" i="1"/>
  <c r="I147" i="1"/>
  <c r="F147" i="1"/>
  <c r="K147" i="1" s="1"/>
  <c r="K146" i="1"/>
  <c r="J146" i="1"/>
  <c r="L146" i="1" s="1"/>
  <c r="M146" i="1" s="1"/>
  <c r="I146" i="1"/>
  <c r="K145" i="1"/>
  <c r="L145" i="1" s="1"/>
  <c r="M145" i="1" s="1"/>
  <c r="J145" i="1"/>
  <c r="I145" i="1"/>
  <c r="L144" i="1"/>
  <c r="M144" i="1" s="1"/>
  <c r="K144" i="1"/>
  <c r="J144" i="1"/>
  <c r="I144" i="1"/>
  <c r="M143" i="1"/>
  <c r="K143" i="1"/>
  <c r="J143" i="1"/>
  <c r="L143" i="1" s="1"/>
  <c r="I143" i="1"/>
  <c r="F143" i="1"/>
  <c r="I142" i="1"/>
  <c r="F142" i="1"/>
  <c r="J142" i="1" s="1"/>
  <c r="K141" i="1"/>
  <c r="J141" i="1"/>
  <c r="I141" i="1"/>
  <c r="F141" i="1"/>
  <c r="L140" i="1"/>
  <c r="K140" i="1"/>
  <c r="J140" i="1"/>
  <c r="I140" i="1"/>
  <c r="K136" i="1"/>
  <c r="J136" i="1"/>
  <c r="I136" i="1"/>
  <c r="K135" i="1"/>
  <c r="L133" i="1"/>
  <c r="M133" i="1" s="1"/>
  <c r="K133" i="1"/>
  <c r="J133" i="1"/>
  <c r="I133" i="1"/>
  <c r="M132" i="1"/>
  <c r="L132" i="1"/>
  <c r="K132" i="1"/>
  <c r="J132" i="1"/>
  <c r="I132" i="1"/>
  <c r="K131" i="1"/>
  <c r="J131" i="1"/>
  <c r="I131" i="1"/>
  <c r="K130" i="1"/>
  <c r="J130" i="1"/>
  <c r="L130" i="1" s="1"/>
  <c r="M130" i="1" s="1"/>
  <c r="I130" i="1"/>
  <c r="L129" i="1"/>
  <c r="M129" i="1" s="1"/>
  <c r="K129" i="1"/>
  <c r="J129" i="1"/>
  <c r="I129" i="1"/>
  <c r="K128" i="1"/>
  <c r="J128" i="1"/>
  <c r="L128" i="1" s="1"/>
  <c r="M128" i="1" s="1"/>
  <c r="I128" i="1"/>
  <c r="K127" i="1"/>
  <c r="J127" i="1"/>
  <c r="I127" i="1"/>
  <c r="K126" i="1"/>
  <c r="J126" i="1"/>
  <c r="L126" i="1" s="1"/>
  <c r="M126" i="1" s="1"/>
  <c r="I126" i="1"/>
  <c r="L125" i="1"/>
  <c r="M125" i="1" s="1"/>
  <c r="K125" i="1"/>
  <c r="J125" i="1"/>
  <c r="I125" i="1"/>
  <c r="K124" i="1"/>
  <c r="J124" i="1"/>
  <c r="L124" i="1" s="1"/>
  <c r="M124" i="1" s="1"/>
  <c r="I124" i="1"/>
  <c r="K123" i="1"/>
  <c r="J123" i="1"/>
  <c r="I123" i="1"/>
  <c r="K122" i="1"/>
  <c r="J122" i="1"/>
  <c r="L122" i="1" s="1"/>
  <c r="M122" i="1" s="1"/>
  <c r="I122" i="1"/>
  <c r="L121" i="1"/>
  <c r="M121" i="1" s="1"/>
  <c r="K121" i="1"/>
  <c r="J121" i="1"/>
  <c r="I121" i="1"/>
  <c r="K120" i="1"/>
  <c r="J120" i="1"/>
  <c r="L120" i="1" s="1"/>
  <c r="M120" i="1" s="1"/>
  <c r="I120" i="1"/>
  <c r="K119" i="1"/>
  <c r="J119" i="1"/>
  <c r="I119" i="1"/>
  <c r="K118" i="1"/>
  <c r="J118" i="1"/>
  <c r="L118" i="1" s="1"/>
  <c r="M118" i="1" s="1"/>
  <c r="I118" i="1"/>
  <c r="L117" i="1"/>
  <c r="M117" i="1" s="1"/>
  <c r="K117" i="1"/>
  <c r="J117" i="1"/>
  <c r="I117" i="1"/>
  <c r="M116" i="1"/>
  <c r="K116" i="1"/>
  <c r="J116" i="1"/>
  <c r="L116" i="1" s="1"/>
  <c r="I116" i="1"/>
  <c r="K115" i="1"/>
  <c r="J115" i="1"/>
  <c r="I115" i="1"/>
  <c r="K114" i="1"/>
  <c r="J114" i="1"/>
  <c r="L114" i="1" s="1"/>
  <c r="I114" i="1"/>
  <c r="J113" i="1"/>
  <c r="K112" i="1"/>
  <c r="J112" i="1"/>
  <c r="L112" i="1" s="1"/>
  <c r="M112" i="1" s="1"/>
  <c r="I112" i="1"/>
  <c r="K111" i="1"/>
  <c r="J111" i="1"/>
  <c r="L111" i="1" s="1"/>
  <c r="M111" i="1" s="1"/>
  <c r="I111" i="1"/>
  <c r="K110" i="1"/>
  <c r="J110" i="1"/>
  <c r="L110" i="1" s="1"/>
  <c r="M110" i="1" s="1"/>
  <c r="I110" i="1"/>
  <c r="K109" i="1"/>
  <c r="L109" i="1" s="1"/>
  <c r="M109" i="1" s="1"/>
  <c r="J109" i="1"/>
  <c r="I109" i="1"/>
  <c r="L108" i="1"/>
  <c r="M108" i="1" s="1"/>
  <c r="K108" i="1"/>
  <c r="J108" i="1"/>
  <c r="I108" i="1"/>
  <c r="M107" i="1"/>
  <c r="K107" i="1"/>
  <c r="J107" i="1"/>
  <c r="L107" i="1" s="1"/>
  <c r="I107" i="1"/>
  <c r="L106" i="1"/>
  <c r="M106" i="1" s="1"/>
  <c r="K106" i="1"/>
  <c r="J106" i="1"/>
  <c r="I106" i="1"/>
  <c r="M105" i="1"/>
  <c r="K105" i="1"/>
  <c r="L105" i="1" s="1"/>
  <c r="J105" i="1"/>
  <c r="I105" i="1"/>
  <c r="K104" i="1"/>
  <c r="J104" i="1"/>
  <c r="I104" i="1"/>
  <c r="K102" i="1"/>
  <c r="J102" i="1"/>
  <c r="L102" i="1" s="1"/>
  <c r="M102" i="1" s="1"/>
  <c r="I102" i="1"/>
  <c r="K101" i="1"/>
  <c r="L101" i="1" s="1"/>
  <c r="M101" i="1" s="1"/>
  <c r="J101" i="1"/>
  <c r="I101" i="1"/>
  <c r="L100" i="1"/>
  <c r="M100" i="1" s="1"/>
  <c r="K100" i="1"/>
  <c r="J100" i="1"/>
  <c r="I100" i="1"/>
  <c r="M99" i="1"/>
  <c r="K99" i="1"/>
  <c r="J99" i="1"/>
  <c r="L99" i="1" s="1"/>
  <c r="I99" i="1"/>
  <c r="L98" i="1"/>
  <c r="M98" i="1" s="1"/>
  <c r="K98" i="1"/>
  <c r="J98" i="1"/>
  <c r="I98" i="1"/>
  <c r="K97" i="1"/>
  <c r="L97" i="1" s="1"/>
  <c r="M97" i="1" s="1"/>
  <c r="J97" i="1"/>
  <c r="I97" i="1"/>
  <c r="K96" i="1"/>
  <c r="J96" i="1"/>
  <c r="L96" i="1" s="1"/>
  <c r="M96" i="1" s="1"/>
  <c r="I96" i="1"/>
  <c r="K95" i="1"/>
  <c r="J95" i="1"/>
  <c r="L95" i="1" s="1"/>
  <c r="M95" i="1" s="1"/>
  <c r="I95" i="1"/>
  <c r="K94" i="1"/>
  <c r="J94" i="1"/>
  <c r="L94" i="1" s="1"/>
  <c r="M94" i="1" s="1"/>
  <c r="I94" i="1"/>
  <c r="K93" i="1"/>
  <c r="J93" i="1"/>
  <c r="I93" i="1"/>
  <c r="L92" i="1"/>
  <c r="K92" i="1"/>
  <c r="J92" i="1"/>
  <c r="J91" i="1" s="1"/>
  <c r="I92" i="1"/>
  <c r="L90" i="1"/>
  <c r="M90" i="1" s="1"/>
  <c r="K90" i="1"/>
  <c r="J90" i="1"/>
  <c r="I90" i="1"/>
  <c r="K89" i="1"/>
  <c r="L89" i="1" s="1"/>
  <c r="M89" i="1" s="1"/>
  <c r="J89" i="1"/>
  <c r="I89" i="1"/>
  <c r="K88" i="1"/>
  <c r="J88" i="1"/>
  <c r="L88" i="1" s="1"/>
  <c r="M88" i="1" s="1"/>
  <c r="I88" i="1"/>
  <c r="K87" i="1"/>
  <c r="J87" i="1"/>
  <c r="L87" i="1" s="1"/>
  <c r="M87" i="1" s="1"/>
  <c r="I87" i="1"/>
  <c r="K86" i="1"/>
  <c r="J86" i="1"/>
  <c r="L86" i="1" s="1"/>
  <c r="M86" i="1" s="1"/>
  <c r="I86" i="1"/>
  <c r="K85" i="1"/>
  <c r="L85" i="1" s="1"/>
  <c r="M85" i="1" s="1"/>
  <c r="J85" i="1"/>
  <c r="I85" i="1"/>
  <c r="L84" i="1"/>
  <c r="M84" i="1" s="1"/>
  <c r="K84" i="1"/>
  <c r="J84" i="1"/>
  <c r="I84" i="1"/>
  <c r="M83" i="1"/>
  <c r="K83" i="1"/>
  <c r="J83" i="1"/>
  <c r="L83" i="1" s="1"/>
  <c r="I83" i="1"/>
  <c r="L82" i="1"/>
  <c r="M82" i="1" s="1"/>
  <c r="K82" i="1"/>
  <c r="J82" i="1"/>
  <c r="I82" i="1"/>
  <c r="K81" i="1"/>
  <c r="L81" i="1" s="1"/>
  <c r="M81" i="1" s="1"/>
  <c r="J81" i="1"/>
  <c r="I81" i="1"/>
  <c r="K80" i="1"/>
  <c r="J80" i="1"/>
  <c r="L80" i="1" s="1"/>
  <c r="M80" i="1" s="1"/>
  <c r="I80" i="1"/>
  <c r="K79" i="1"/>
  <c r="J79" i="1"/>
  <c r="L79" i="1" s="1"/>
  <c r="M79" i="1" s="1"/>
  <c r="I79" i="1"/>
  <c r="K78" i="1"/>
  <c r="J78" i="1"/>
  <c r="I78" i="1"/>
  <c r="K76" i="1"/>
  <c r="J76" i="1"/>
  <c r="I76" i="1"/>
  <c r="L75" i="1"/>
  <c r="M75" i="1" s="1"/>
  <c r="K75" i="1"/>
  <c r="J75" i="1"/>
  <c r="I75" i="1"/>
  <c r="M74" i="1"/>
  <c r="K74" i="1"/>
  <c r="L74" i="1" s="1"/>
  <c r="J74" i="1"/>
  <c r="I74" i="1"/>
  <c r="K73" i="1"/>
  <c r="J73" i="1"/>
  <c r="I73" i="1"/>
  <c r="L71" i="1"/>
  <c r="M71" i="1" s="1"/>
  <c r="K71" i="1"/>
  <c r="J71" i="1"/>
  <c r="I71" i="1"/>
  <c r="M70" i="1"/>
  <c r="K70" i="1"/>
  <c r="L70" i="1" s="1"/>
  <c r="J70" i="1"/>
  <c r="I70" i="1"/>
  <c r="K69" i="1"/>
  <c r="J69" i="1"/>
  <c r="L69" i="1" s="1"/>
  <c r="M69" i="1" s="1"/>
  <c r="I69" i="1"/>
  <c r="K68" i="1"/>
  <c r="K67" i="1" s="1"/>
  <c r="J68" i="1"/>
  <c r="L68" i="1" s="1"/>
  <c r="I68" i="1"/>
  <c r="K66" i="1"/>
  <c r="L66" i="1" s="1"/>
  <c r="M66" i="1" s="1"/>
  <c r="J66" i="1"/>
  <c r="I66" i="1"/>
  <c r="K65" i="1"/>
  <c r="J65" i="1"/>
  <c r="L65" i="1" s="1"/>
  <c r="M65" i="1" s="1"/>
  <c r="I65" i="1"/>
  <c r="K64" i="1"/>
  <c r="J64" i="1"/>
  <c r="L64" i="1" s="1"/>
  <c r="M64" i="1" s="1"/>
  <c r="I64" i="1"/>
  <c r="L63" i="1"/>
  <c r="K63" i="1"/>
  <c r="K62" i="1" s="1"/>
  <c r="J63" i="1"/>
  <c r="I63" i="1"/>
  <c r="K61" i="1"/>
  <c r="J61" i="1"/>
  <c r="L61" i="1" s="1"/>
  <c r="M61" i="1" s="1"/>
  <c r="I61" i="1"/>
  <c r="K60" i="1"/>
  <c r="J60" i="1"/>
  <c r="L60" i="1" s="1"/>
  <c r="M60" i="1" s="1"/>
  <c r="I60" i="1"/>
  <c r="L59" i="1"/>
  <c r="M59" i="1" s="1"/>
  <c r="K59" i="1"/>
  <c r="J59" i="1"/>
  <c r="I59" i="1"/>
  <c r="M58" i="1"/>
  <c r="K58" i="1"/>
  <c r="L58" i="1" s="1"/>
  <c r="J58" i="1"/>
  <c r="I58" i="1"/>
  <c r="K57" i="1"/>
  <c r="J57" i="1"/>
  <c r="I57" i="1"/>
  <c r="L55" i="1"/>
  <c r="M55" i="1" s="1"/>
  <c r="K55" i="1"/>
  <c r="J55" i="1"/>
  <c r="I55" i="1"/>
  <c r="M54" i="1"/>
  <c r="K54" i="1"/>
  <c r="J54" i="1"/>
  <c r="L54" i="1" s="1"/>
  <c r="I54" i="1"/>
  <c r="K53" i="1"/>
  <c r="J53" i="1"/>
  <c r="L53" i="1" s="1"/>
  <c r="M53" i="1" s="1"/>
  <c r="I53" i="1"/>
  <c r="K52" i="1"/>
  <c r="J52" i="1"/>
  <c r="I52" i="1"/>
  <c r="L51" i="1"/>
  <c r="M51" i="1" s="1"/>
  <c r="K51" i="1"/>
  <c r="J51" i="1"/>
  <c r="I51" i="1"/>
  <c r="K50" i="1"/>
  <c r="J50" i="1"/>
  <c r="L50" i="1" s="1"/>
  <c r="M50" i="1" s="1"/>
  <c r="I50" i="1"/>
  <c r="K49" i="1"/>
  <c r="J49" i="1"/>
  <c r="L49" i="1" s="1"/>
  <c r="M49" i="1" s="1"/>
  <c r="I49" i="1"/>
  <c r="K48" i="1"/>
  <c r="J48" i="1"/>
  <c r="L48" i="1" s="1"/>
  <c r="M48" i="1" s="1"/>
  <c r="I48" i="1"/>
  <c r="L47" i="1"/>
  <c r="K47" i="1"/>
  <c r="J47" i="1"/>
  <c r="I47" i="1"/>
  <c r="K45" i="1"/>
  <c r="J45" i="1"/>
  <c r="L45" i="1" s="1"/>
  <c r="M45" i="1" s="1"/>
  <c r="I45" i="1"/>
  <c r="K44" i="1"/>
  <c r="J44" i="1"/>
  <c r="I44" i="1"/>
  <c r="K43" i="1"/>
  <c r="J43" i="1"/>
  <c r="J41" i="1" s="1"/>
  <c r="I43" i="1"/>
  <c r="K42" i="1"/>
  <c r="K41" i="1" s="1"/>
  <c r="J42" i="1"/>
  <c r="I42" i="1"/>
  <c r="K39" i="1"/>
  <c r="J39" i="1"/>
  <c r="L39" i="1" s="1"/>
  <c r="M39" i="1" s="1"/>
  <c r="I39" i="1"/>
  <c r="K38" i="1"/>
  <c r="J38" i="1"/>
  <c r="L38" i="1" s="1"/>
  <c r="M38" i="1" s="1"/>
  <c r="I38" i="1"/>
  <c r="L37" i="1"/>
  <c r="M37" i="1" s="1"/>
  <c r="K37" i="1"/>
  <c r="J37" i="1"/>
  <c r="I37" i="1"/>
  <c r="M36" i="1"/>
  <c r="L36" i="1"/>
  <c r="K36" i="1"/>
  <c r="J36" i="1"/>
  <c r="I36" i="1"/>
  <c r="K35" i="1"/>
  <c r="J35" i="1"/>
  <c r="L35" i="1" s="1"/>
  <c r="M35" i="1" s="1"/>
  <c r="I35" i="1"/>
  <c r="K34" i="1"/>
  <c r="K33" i="1" s="1"/>
  <c r="J34" i="1"/>
  <c r="L34" i="1" s="1"/>
  <c r="I34" i="1"/>
  <c r="M32" i="1"/>
  <c r="L32" i="1"/>
  <c r="K32" i="1"/>
  <c r="J32" i="1"/>
  <c r="I32" i="1"/>
  <c r="K31" i="1"/>
  <c r="J31" i="1"/>
  <c r="L31" i="1" s="1"/>
  <c r="M31" i="1" s="1"/>
  <c r="I31" i="1"/>
  <c r="K30" i="1"/>
  <c r="J30" i="1"/>
  <c r="L30" i="1" s="1"/>
  <c r="M30" i="1" s="1"/>
  <c r="I30" i="1"/>
  <c r="L29" i="1"/>
  <c r="M29" i="1" s="1"/>
  <c r="K29" i="1"/>
  <c r="J29" i="1"/>
  <c r="I29" i="1"/>
  <c r="M28" i="1"/>
  <c r="L28" i="1"/>
  <c r="K28" i="1"/>
  <c r="J28" i="1"/>
  <c r="I28" i="1"/>
  <c r="K27" i="1"/>
  <c r="J27" i="1"/>
  <c r="L27" i="1" s="1"/>
  <c r="M27" i="1" s="1"/>
  <c r="I27" i="1"/>
  <c r="K26" i="1"/>
  <c r="J26" i="1"/>
  <c r="L26" i="1" s="1"/>
  <c r="M26" i="1" s="1"/>
  <c r="I26" i="1"/>
  <c r="L25" i="1"/>
  <c r="M25" i="1" s="1"/>
  <c r="K25" i="1"/>
  <c r="J25" i="1"/>
  <c r="I25" i="1"/>
  <c r="M24" i="1"/>
  <c r="L24" i="1"/>
  <c r="K24" i="1"/>
  <c r="J24" i="1"/>
  <c r="I24" i="1"/>
  <c r="K23" i="1"/>
  <c r="K22" i="1" s="1"/>
  <c r="J23" i="1"/>
  <c r="L23" i="1" s="1"/>
  <c r="I23" i="1"/>
  <c r="F23" i="1"/>
  <c r="M21" i="1"/>
  <c r="L21" i="1"/>
  <c r="K21" i="1"/>
  <c r="J21" i="1"/>
  <c r="I21" i="1"/>
  <c r="K20" i="1"/>
  <c r="J20" i="1"/>
  <c r="L20" i="1" s="1"/>
  <c r="I20" i="1"/>
  <c r="K19" i="1"/>
  <c r="L18" i="1"/>
  <c r="M18" i="1" s="1"/>
  <c r="K18" i="1"/>
  <c r="J18" i="1"/>
  <c r="I18" i="1"/>
  <c r="M17" i="1"/>
  <c r="L17" i="1"/>
  <c r="K17" i="1"/>
  <c r="J17" i="1"/>
  <c r="I17" i="1"/>
  <c r="K16" i="1"/>
  <c r="J16" i="1"/>
  <c r="L16" i="1" s="1"/>
  <c r="M16" i="1" s="1"/>
  <c r="I16" i="1"/>
  <c r="K15" i="1"/>
  <c r="K14" i="1" s="1"/>
  <c r="J15" i="1"/>
  <c r="L15" i="1" s="1"/>
  <c r="I15" i="1"/>
  <c r="M23" i="1" l="1"/>
  <c r="M22" i="1" s="1"/>
  <c r="L22" i="1"/>
  <c r="M34" i="1"/>
  <c r="M33" i="1" s="1"/>
  <c r="L33" i="1"/>
  <c r="M15" i="1"/>
  <c r="M14" i="1" s="1"/>
  <c r="L14" i="1"/>
  <c r="M20" i="1"/>
  <c r="M19" i="1" s="1"/>
  <c r="L19" i="1"/>
  <c r="L42" i="1"/>
  <c r="L44" i="1"/>
  <c r="M44" i="1" s="1"/>
  <c r="L46" i="1"/>
  <c r="M47" i="1"/>
  <c r="M46" i="1" s="1"/>
  <c r="L52" i="1"/>
  <c r="M52" i="1" s="1"/>
  <c r="L62" i="1"/>
  <c r="M63" i="1"/>
  <c r="M62" i="1" s="1"/>
  <c r="L73" i="1"/>
  <c r="J72" i="1"/>
  <c r="J103" i="1"/>
  <c r="L104" i="1"/>
  <c r="M114" i="1"/>
  <c r="L67" i="1"/>
  <c r="M68" i="1"/>
  <c r="M67" i="1" s="1"/>
  <c r="L141" i="1"/>
  <c r="M141" i="1" s="1"/>
  <c r="J14" i="1"/>
  <c r="J22" i="1"/>
  <c r="J33" i="1"/>
  <c r="L43" i="1"/>
  <c r="M43" i="1" s="1"/>
  <c r="K91" i="1"/>
  <c r="L93" i="1"/>
  <c r="M93" i="1" s="1"/>
  <c r="K103" i="1"/>
  <c r="M140" i="1"/>
  <c r="K150" i="1"/>
  <c r="K149" i="1" s="1"/>
  <c r="J150" i="1"/>
  <c r="J19" i="1"/>
  <c r="J46" i="1"/>
  <c r="K46" i="1"/>
  <c r="L57" i="1"/>
  <c r="J56" i="1"/>
  <c r="J62" i="1"/>
  <c r="L76" i="1"/>
  <c r="M76" i="1" s="1"/>
  <c r="J77" i="1"/>
  <c r="L78" i="1"/>
  <c r="M92" i="1"/>
  <c r="M91" i="1" s="1"/>
  <c r="J67" i="1"/>
  <c r="K77" i="1"/>
  <c r="L115" i="1"/>
  <c r="M115" i="1" s="1"/>
  <c r="L123" i="1"/>
  <c r="M123" i="1" s="1"/>
  <c r="L131" i="1"/>
  <c r="M131" i="1" s="1"/>
  <c r="K142" i="1"/>
  <c r="J147" i="1"/>
  <c r="L147" i="1" s="1"/>
  <c r="M147" i="1" s="1"/>
  <c r="K113" i="1"/>
  <c r="L136" i="1"/>
  <c r="J135" i="1"/>
  <c r="K56" i="1"/>
  <c r="K72" i="1"/>
  <c r="L119" i="1"/>
  <c r="M119" i="1" s="1"/>
  <c r="L127" i="1"/>
  <c r="M127" i="1" s="1"/>
  <c r="L153" i="1"/>
  <c r="M153" i="1" s="1"/>
  <c r="L135" i="1" l="1"/>
  <c r="M136" i="1"/>
  <c r="M135" i="1" s="1"/>
  <c r="J149" i="1"/>
  <c r="L150" i="1"/>
  <c r="C19" i="2"/>
  <c r="N46" i="1"/>
  <c r="C21" i="2"/>
  <c r="N62" i="1"/>
  <c r="C17" i="2"/>
  <c r="N33" i="1"/>
  <c r="L91" i="1"/>
  <c r="M139" i="1"/>
  <c r="M57" i="1"/>
  <c r="M56" i="1" s="1"/>
  <c r="L56" i="1"/>
  <c r="M113" i="1"/>
  <c r="M73" i="1"/>
  <c r="M72" i="1" s="1"/>
  <c r="L72" i="1"/>
  <c r="C25" i="2"/>
  <c r="N91" i="1"/>
  <c r="C22" i="2"/>
  <c r="N67" i="1"/>
  <c r="M104" i="1"/>
  <c r="M103" i="1" s="1"/>
  <c r="L103" i="1"/>
  <c r="C15" i="2"/>
  <c r="N19" i="1"/>
  <c r="L142" i="1"/>
  <c r="M142" i="1" s="1"/>
  <c r="K139" i="1"/>
  <c r="M78" i="1"/>
  <c r="M77" i="1" s="1"/>
  <c r="L77" i="1"/>
  <c r="L139" i="1"/>
  <c r="J139" i="1"/>
  <c r="L113" i="1"/>
  <c r="L41" i="1"/>
  <c r="M42" i="1"/>
  <c r="M41" i="1" s="1"/>
  <c r="C14" i="2"/>
  <c r="N14" i="1"/>
  <c r="C16" i="2"/>
  <c r="N22" i="1"/>
  <c r="N22" i="2" l="1"/>
  <c r="F22" i="2"/>
  <c r="H22" i="2"/>
  <c r="L22" i="2"/>
  <c r="J22" i="2"/>
  <c r="C29" i="2"/>
  <c r="N139" i="1"/>
  <c r="L149" i="1"/>
  <c r="M150" i="1"/>
  <c r="M149" i="1" s="1"/>
  <c r="N21" i="2"/>
  <c r="F21" i="2"/>
  <c r="L21" i="2"/>
  <c r="J21" i="2"/>
  <c r="H21" i="2"/>
  <c r="N41" i="1"/>
  <c r="M7" i="1" s="1"/>
  <c r="C18" i="2"/>
  <c r="N103" i="1"/>
  <c r="C26" i="2"/>
  <c r="N25" i="2"/>
  <c r="F25" i="2"/>
  <c r="L25" i="2"/>
  <c r="J25" i="2"/>
  <c r="H25" i="2"/>
  <c r="N135" i="1"/>
  <c r="C28" i="2"/>
  <c r="N77" i="1"/>
  <c r="C24" i="2"/>
  <c r="N15" i="2"/>
  <c r="F15" i="2"/>
  <c r="L15" i="2"/>
  <c r="J15" i="2"/>
  <c r="H15" i="2"/>
  <c r="C23" i="2"/>
  <c r="N72" i="1"/>
  <c r="N14" i="2"/>
  <c r="F14" i="2"/>
  <c r="H14" i="2"/>
  <c r="L14" i="2"/>
  <c r="J14" i="2"/>
  <c r="C27" i="2"/>
  <c r="N113" i="1"/>
  <c r="N16" i="2"/>
  <c r="F16" i="2"/>
  <c r="H16" i="2"/>
  <c r="L16" i="2"/>
  <c r="J16" i="2"/>
  <c r="N56" i="1"/>
  <c r="C20" i="2"/>
  <c r="N17" i="2"/>
  <c r="F17" i="2"/>
  <c r="L17" i="2"/>
  <c r="J17" i="2"/>
  <c r="H17" i="2"/>
  <c r="N19" i="2"/>
  <c r="F19" i="2"/>
  <c r="L19" i="2"/>
  <c r="J19" i="2"/>
  <c r="H19" i="2"/>
  <c r="P7" i="1" l="1"/>
  <c r="O7" i="1"/>
  <c r="N20" i="2"/>
  <c r="F20" i="2"/>
  <c r="H20" i="2"/>
  <c r="L20" i="2"/>
  <c r="J20" i="2"/>
  <c r="N29" i="2"/>
  <c r="F29" i="2"/>
  <c r="L29" i="2"/>
  <c r="J29" i="2"/>
  <c r="H29" i="2"/>
  <c r="D29" i="2"/>
  <c r="N24" i="2"/>
  <c r="F24" i="2"/>
  <c r="H24" i="2"/>
  <c r="D24" i="2"/>
  <c r="L24" i="2"/>
  <c r="J24" i="2"/>
  <c r="N18" i="2"/>
  <c r="F18" i="2"/>
  <c r="H18" i="2"/>
  <c r="L18" i="2"/>
  <c r="J18" i="2"/>
  <c r="N149" i="1"/>
  <c r="C30" i="2"/>
  <c r="N27" i="2"/>
  <c r="F27" i="2"/>
  <c r="L27" i="2"/>
  <c r="J27" i="2"/>
  <c r="H27" i="2"/>
  <c r="D27" i="2"/>
  <c r="C31" i="2"/>
  <c r="N23" i="2"/>
  <c r="F23" i="2"/>
  <c r="L23" i="2"/>
  <c r="J23" i="2"/>
  <c r="H23" i="2"/>
  <c r="N28" i="2"/>
  <c r="F28" i="2"/>
  <c r="H28" i="2"/>
  <c r="D28" i="2"/>
  <c r="L28" i="2"/>
  <c r="J28" i="2"/>
  <c r="N26" i="2"/>
  <c r="F26" i="2"/>
  <c r="H26" i="2"/>
  <c r="L26" i="2"/>
  <c r="J26" i="2"/>
  <c r="M8" i="1"/>
  <c r="M6" i="1" s="1"/>
  <c r="P6" i="1" l="1"/>
  <c r="O6" i="1"/>
  <c r="G33" i="2"/>
  <c r="D31" i="2"/>
  <c r="D22" i="2"/>
  <c r="D21" i="2"/>
  <c r="D15" i="2"/>
  <c r="D17" i="2"/>
  <c r="D25" i="2"/>
  <c r="D14" i="2"/>
  <c r="D16" i="2"/>
  <c r="D19" i="2"/>
  <c r="D20" i="2"/>
  <c r="N30" i="2"/>
  <c r="M33" i="2" s="1"/>
  <c r="F30" i="2"/>
  <c r="E33" i="2" s="1"/>
  <c r="J30" i="2"/>
  <c r="I33" i="2" s="1"/>
  <c r="H30" i="2"/>
  <c r="L30" i="2"/>
  <c r="K33" i="2" s="1"/>
  <c r="D30" i="2"/>
  <c r="D18" i="2"/>
  <c r="P8" i="1"/>
  <c r="O8" i="1"/>
  <c r="D26" i="2"/>
  <c r="D23" i="2"/>
  <c r="E34" i="2" l="1"/>
  <c r="E36" i="2" s="1"/>
  <c r="E35" i="2"/>
  <c r="I34" i="2"/>
  <c r="I36" i="2" s="1"/>
  <c r="I35" i="2"/>
  <c r="K35" i="2" s="1"/>
  <c r="M35" i="2" s="1"/>
  <c r="K34" i="2"/>
  <c r="M34" i="2"/>
  <c r="G35" i="2"/>
  <c r="G34" i="2"/>
  <c r="G36" i="2" s="1"/>
  <c r="K36" i="2" l="1"/>
  <c r="M36" i="2"/>
</calcChain>
</file>

<file path=xl/sharedStrings.xml><?xml version="1.0" encoding="utf-8"?>
<sst xmlns="http://schemas.openxmlformats.org/spreadsheetml/2006/main" count="599" uniqueCount="360">
  <si>
    <t>UNIVERSIDADE ESTADUAL DO NORTE DO PARANÁ</t>
  </si>
  <si>
    <t>CNPJ: 08.885.100/0001-54</t>
  </si>
  <si>
    <t>BDI</t>
  </si>
  <si>
    <t>OBRA:  CENTRO DE ATENDIMENTO E GALPÃO PRÉ-MOLDADO PARA PRÁTICA DE EQUOTERAPIA</t>
  </si>
  <si>
    <t xml:space="preserve">LOCAL: CAMPUS LUIZ MENEGHEL - BANDEIRANTES </t>
  </si>
  <si>
    <t>Total c/BDI</t>
  </si>
  <si>
    <t>DATA DO ORÇAMENTO: AGOSTO/2022</t>
  </si>
  <si>
    <t>CENTRO DE ANTENDIMENTO</t>
  </si>
  <si>
    <t>SINAPI_CUSTO_REF_COMPOSICOES_ANALITICO_PR_202206_DESONERADO  DATA DE EMISSÃO:12/07/2022</t>
  </si>
  <si>
    <t>GALPÃO</t>
  </si>
  <si>
    <t>RESP. TÉCNICO: ENG.CIVIL LINCOLN MAKOTO NOZAKI 
CREA PR 9555 D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</si>
  <si>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</si>
  <si>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</si>
  <si>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</si>
  <si>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</si>
  <si>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</si>
  <si>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</si>
  <si>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</si>
  <si>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</si>
  <si>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</si>
  <si>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</si>
  <si>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</si>
  <si>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</si>
  <si>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</si>
  <si>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CENTRO DE ATENDIMENTO</t>
  </si>
  <si>
    <t>1.</t>
  </si>
  <si>
    <t>SERVIÇOS PRELIMINARES</t>
  </si>
  <si>
    <t>1.1</t>
  </si>
  <si>
    <t>PLACA</t>
  </si>
  <si>
    <t>PLACA DE OBRA (PARA CONSTRUCAO CIVIL) EM CHAPA GALVANIZADA *N. 22*, ADESIVADA, M2 C 280,00</t>
  </si>
  <si>
    <t>m²</t>
  </si>
  <si>
    <t>1.2</t>
  </si>
  <si>
    <t>GABARITO</t>
  </si>
  <si>
    <t>99059</t>
  </si>
  <si>
    <t>LOCACAO CONVENCIONAL DE OBRA, UTILIZANDO GABARITO DE TÁBUAS CORRIDAS PONTALETADAS A CADA 2,00M -  2 UTILIZAÇÕES. AF_10/2018</t>
  </si>
  <si>
    <t>m</t>
  </si>
  <si>
    <t>1.3</t>
  </si>
  <si>
    <t>LIMPEZA TERRENO</t>
  </si>
  <si>
    <t>LIMPEZA MECANIZADA DE TERRENO COM REMOCAO DE CAMADA VEGETAL, UTILIZANDO MOTONIVELADORA</t>
  </si>
  <si>
    <t>1.4</t>
  </si>
  <si>
    <t>INST. TEMPORÁRIAS OBRA</t>
  </si>
  <si>
    <t>PAREDE DE MADEIRA COMPENSADA PARA SANITÁRIO/ ESCRITÓRIO /ALMOXARIFADO</t>
  </si>
  <si>
    <t>2.</t>
  </si>
  <si>
    <t>MOVIMENTO DE TERRA PARA FUNDAÇÕES</t>
  </si>
  <si>
    <t>REGULARIZAÇÃO DO TERRENO: ATERRO MECANIZADO  COM ESCAVADEIRA HIDRÁULICA</t>
  </si>
  <si>
    <t>m³</t>
  </si>
  <si>
    <t>ESCAVACAO MANUAL DE VALA EM MATERIAL DE 1A CATEGORIA</t>
  </si>
  <si>
    <t>3.</t>
  </si>
  <si>
    <t>FUNDAÇÕES</t>
  </si>
  <si>
    <t>3.1</t>
  </si>
  <si>
    <t>ESTACA 20X3M</t>
  </si>
  <si>
    <t>ESTACA BROCA DE CONCRETO, DIÂMETRO DE 20CM, ESCAVAÇÃO MANUAL COM TRADO CONCHA, COM ARMADURA DE ARRANQUE. AF_05/2020</t>
  </si>
  <si>
    <t>3.2</t>
  </si>
  <si>
    <t>BLOCO 40X40X40</t>
  </si>
  <si>
    <t>ESCAVAÇÃO MANUAL PARA BLOCO DE COROAMENTO OU SAPATA, COM PREVISÃO DE F M3 C 88,02</t>
  </si>
  <si>
    <t>3.3</t>
  </si>
  <si>
    <t xml:space="preserve">BLOCO </t>
  </si>
  <si>
    <t>LASTRO COM MATERIAL GRANULAR</t>
  </si>
  <si>
    <t>3.4</t>
  </si>
  <si>
    <t>BLOCO</t>
  </si>
  <si>
    <t>ARMAÇÃO DO BLOCO COM AÇO 8,0 : GAIOLA 6Ø8,0</t>
  </si>
  <si>
    <t>kg</t>
  </si>
  <si>
    <t>3.5</t>
  </si>
  <si>
    <t>94970</t>
  </si>
  <si>
    <t>CONCRETO 20 MPA :CONCRETAGEM DE VIGAS E LAJES, FCK=20 MPA, PARA LAJES MACIÇAS OU NERVUR M3 AS 348,58</t>
  </si>
  <si>
    <t>3.6</t>
  </si>
  <si>
    <t>BALDRAME</t>
  </si>
  <si>
    <t>ESCAVAÇÃO: ESCAVAÇÃO MANUAL PARA BLOCO DE COROAMENTO OU SAPATA, COM PREVISÃO DE F M3 C 88,02</t>
  </si>
  <si>
    <t>3.7</t>
  </si>
  <si>
    <t>ARMAÇÃO DE  VIGA DE UMA ESTRUTURA CONVENCIONAL DE CONCRETO ARMADO</t>
  </si>
  <si>
    <t>3.8</t>
  </si>
  <si>
    <t>MONTAGEM E DESMONTAGEM DE FÔRMA, EM CHAPA DE MADEIRA COMPENSADA PLASTIFICADA, 18 UTILIZAÇÕES. AF_09/2020</t>
  </si>
  <si>
    <t>M²</t>
  </si>
  <si>
    <t>3.9</t>
  </si>
  <si>
    <t>CONCRETO PARA FUNDAÇÃO FCK=20MPA, INCLUINDO PREPARO, LANÇAMENTO, ADENSAMENTO.</t>
  </si>
  <si>
    <t>3.10</t>
  </si>
  <si>
    <t>IMPERMEABILIZAÇÃO DE SUPERFÍCIE COM ARGAMASSA POLIMÉRICA / MEMBRANA ACRÍLICA, 3 DEMÃOS. AF_06/2018  M2 CR 21,70</t>
  </si>
  <si>
    <t>4.</t>
  </si>
  <si>
    <t>SUPERESTRUTURA</t>
  </si>
  <si>
    <t>PILARES 24X</t>
  </si>
  <si>
    <t xml:space="preserve">PILARES </t>
  </si>
  <si>
    <t>ARMAÇÃO DE  PILAR DE CONCRETO ARMADO -Ø 10,0MM /  Ø 5,0MM</t>
  </si>
  <si>
    <t>PILARES</t>
  </si>
  <si>
    <t>CONCRETO  FCK=20MPA, INCLUINDO PREPARO, LANÇAMENTO, ADENSAMENTO.</t>
  </si>
  <si>
    <t>VIGAS</t>
  </si>
  <si>
    <t>ARMAÇÃO AÇO CA-50, DIAM. 6,3 (1/4) Á 12,5MM(1/2) -FORNECIMENTO/CORTE PERDA DE 10%) / DOBRA / COLOCAÇÃO.</t>
  </si>
  <si>
    <t>CONCRETO PARA ESTRUTURA FCK=20MPA, INCLUINDO PREPARO, LANÇAMENTO, ADENSAMENTO.</t>
  </si>
  <si>
    <t>5.</t>
  </si>
  <si>
    <t>VEDAÇÃO VERTICAL</t>
  </si>
  <si>
    <t>ALVENARIA EXT</t>
  </si>
  <si>
    <t>103334</t>
  </si>
  <si>
    <t>ALVENARIA DE VEDAÇÃO DE BLOCOS CERÂMICOS FURADOS NA HORIZONTAL DE 14X9X19 CM (ESPESSURA 14 CM, BLOCO DEITADO) E ARGAMASSA DE ASSENTAMENTO</t>
  </si>
  <si>
    <t>ALVENARIA INT</t>
  </si>
  <si>
    <t>103332</t>
  </si>
  <si>
    <t>ALVENARIA DE VEDAÇÃO DE BLOCOS CERÂMICOS FURADOS NA HORIZONTAL DE 9X14X19 CM (ESPESSURA 9 CM) E ARGAMASSA DE ASSENTAMENTO</t>
  </si>
  <si>
    <t>VERGAS</t>
  </si>
  <si>
    <t>ARMAÇÃO DE VERGA E CONTRAVERGA DE ALVENARIA ESTRUTURAL; DIÂMETRO DE 8, KG CR 11,68</t>
  </si>
  <si>
    <t>6.</t>
  </si>
  <si>
    <t>ESQUADRIAS</t>
  </si>
  <si>
    <t>PORTAS 80 ABRIR</t>
  </si>
  <si>
    <t>PORTA DE ABRIR EM MADEIRA 0,80X2,10M , P1, INCLUSO ADUELA, ALIZAR E DOBRADIÇA COM ANEIS,CONFORME PROJETO DE ESQUADRIAS</t>
  </si>
  <si>
    <t>un</t>
  </si>
  <si>
    <t>PORTAS  90 ABRIR</t>
  </si>
  <si>
    <t>PORTA DE ABRIR EM MADEIRA 0,90X2,10M COM CHAPA METÁLICA, BARRA DE APOIO PNE, P2, CONFORME PROJETO DE ESQUADRIAS</t>
  </si>
  <si>
    <t>PORTAS 160 EM 2 FOLHAS</t>
  </si>
  <si>
    <t>91326 ADAP</t>
  </si>
  <si>
    <t>PORTA DE MADEIRA COMPENSADA LISA PARA PINTURA, 160X210X3,5CM, P3 2 FOLHAS, INCLUSO ADUELA,  ALIZAR E DOBRADIÇAS - (2X 80X210)</t>
  </si>
  <si>
    <t>PORTAS CORRER 80</t>
  </si>
  <si>
    <t>91326 ADAPT</t>
  </si>
  <si>
    <t>PORTA DE CORRER EM MADEIRA 0,80X2,10M , P4, INCLUSO FECHADURA, ADUELA, ALIZAR E DOBRADIÇA COM ANEIS,CONFORME PROJETO DE ESQUADRIAS</t>
  </si>
  <si>
    <t>PORTAS 120 EM 2 FOLHAS</t>
  </si>
  <si>
    <t>91324 ADAP</t>
  </si>
  <si>
    <t>PORTA DE MADEIRA COMPENSADA LISA PARA PINTURA, 120X210X3,5CM, P5 2 FOLHAS, INCLUSO ADUELA,  ALIZAR E DOBRADIÇAS</t>
  </si>
  <si>
    <t>FECHADURA</t>
  </si>
  <si>
    <t>FECHADURA DE EMBUTIR COMPLETA, PARA PORTAS INTERNAS</t>
  </si>
  <si>
    <t>FECHADURA DE EMBUTIR COMPLETA, PARA PORTAS EXTERNAS</t>
  </si>
  <si>
    <t>FECHADURA DE EMBUTIR PARA PORTA DE BANHEIRO, COMPLETA, ACABAMENTO PADRÃO POPULAR, INCLUSO EXECUÇÃO DE FURO - FORNECIMENTO E INSTALAÇÃO. AF_12/2019</t>
  </si>
  <si>
    <t>JANELAS/VIDROS</t>
  </si>
  <si>
    <t>94569
 ADAP</t>
  </si>
  <si>
    <t>JANELAS EM VIDROS TEMPERADOS 10MM COM FECHOS, BATENTES E TRINCOS EM AÇO</t>
  </si>
  <si>
    <t>7.</t>
  </si>
  <si>
    <t>COBERTURA E FORRO</t>
  </si>
  <si>
    <t>ESTRUTRA TELHADO</t>
  </si>
  <si>
    <t>92566 FABRICAÇÃO E INSTALAÇÃO DE ESTRUTURA PONTALETADA DE MADEIRA NÃO APAREL M2 AS 16,78</t>
  </si>
  <si>
    <t>TRAMA DE MADEIRA COMPOSTA POR RIPAS, CAIBROS E TERÇAS PARA TELHADOS DE ATÉ 2 ÁGUAS PARA TELHA CERÂMICA CAPA-CANAL, INCLUSO TRANSPORTE VERTICAL. AF_07/2019</t>
  </si>
  <si>
    <t>TELHA CERÂMICA</t>
  </si>
  <si>
    <t>TELHAMENTO COM TELHA CERÂMICA DE ENCAIXE, TIPO ROMANA, COM ATÉ 2 ÁGUAS M2 AS 27,82</t>
  </si>
  <si>
    <t>CUMEEIRA</t>
  </si>
  <si>
    <t>CUMEEIRA E ESPIGÃO PARA TELHA CERÂMICA EMBOÇADA COM ARGAMASSA TRAÇO 1: M AS 25,41</t>
  </si>
  <si>
    <t>FORROS PVC</t>
  </si>
  <si>
    <t>FORRO DE PVC, E=20CM, COM ESTRUTURA EM AÇO, INCLUSIVE RODAFORRO : FORRO DE PVC, LISO, PARA AMBIENTES COMERCIAIS, INCLUSIVE ESTRUTURA</t>
  </si>
  <si>
    <t>8.</t>
  </si>
  <si>
    <t>REVESTIMENTO INTERNO E EXTERNO</t>
  </si>
  <si>
    <t>CHAPISCO</t>
  </si>
  <si>
    <t>CHAPISCO EM  PAREDE COM ARGAMASSA TRAÇO - 1:3 (CIMENTO / AREIA) - PAREDES INTERNAS</t>
  </si>
  <si>
    <t>CHAPISCO EM  PAREDE COM ARGAMASSA TRAÇO - 1:3 (CIMENTO / AREIA) - PAREDES EXTERNAS</t>
  </si>
  <si>
    <t>REBOCO</t>
  </si>
  <si>
    <t>MASSA ÚNICA/EMBOÇO, EM ARGAMASSA TRAÇO 1:2:8, PREPARO MECÂNICO COM BETONEIRA 400L, APLICADO MANUALMENTE EM FACES INTERNAS M2 CR 21,44</t>
  </si>
  <si>
    <t>CERÂMICA PAREDES</t>
  </si>
  <si>
    <t>REVESTIMENTO CERÂMICO DE PAREDES INTERNAS NA ALTURA INTEIRA DAS PAREDES</t>
  </si>
  <si>
    <t>9.</t>
  </si>
  <si>
    <t>PISOS INTERNOS</t>
  </si>
  <si>
    <t>contra piso: concreto magro (90m² x 0,3 = 2,7 m³)</t>
  </si>
  <si>
    <t xml:space="preserve">LASTRO DE CONCRETO MAGRO, APLICADO EM PISOS OU RADIERS, ESPESSURA DE 3 </t>
  </si>
  <si>
    <t>CONTRAPISO</t>
  </si>
  <si>
    <t xml:space="preserve">CONTRAPISO EM ARGAMASSA TRAÇO 1:4 (CIMENTO E AREIA), PREPARO MECÂNICO </t>
  </si>
  <si>
    <t>Piso cerâmico esmaltado PEI V - 60X60</t>
  </si>
  <si>
    <t xml:space="preserve">REVESTIMENTO CERÂMICO PARA PISO COM PLACAS TIPO ESMALTADA EXTRA DE DIMENSÕES 60X60 CM </t>
  </si>
  <si>
    <t>SOLEIRA ENTRADA/PEITORIL ESQUADRIAS</t>
  </si>
  <si>
    <t>98689 adapt</t>
  </si>
  <si>
    <t xml:space="preserve">GRANITO POLIDO, LARGURA 15 CM, ESPESSURA 2,0 CM. </t>
  </si>
  <si>
    <t>10.</t>
  </si>
  <si>
    <t>PINTURA</t>
  </si>
  <si>
    <t>PINTURA PAREDE</t>
  </si>
  <si>
    <t>88485</t>
  </si>
  <si>
    <t>APLICAÇÃO DE FUNDO SELADOR ACRÍLICO EM PAREDES, UMA DEMÃO. AF_06/2014</t>
  </si>
  <si>
    <t>PINTURA EM LATEX ACRÍLICO 02 DEMÃOS SOBRE PAREDES INTERNAS E EXTERNAS</t>
  </si>
  <si>
    <t>VERNIZ MADEIRA</t>
  </si>
  <si>
    <t>102213</t>
  </si>
  <si>
    <t>PINTURA VERNIZ (INCOLOR) ALQUÍDICO EM MADEIRA, USO INTERNO E EXTERNO, 2 DEMÃOS. AF_01/2021</t>
  </si>
  <si>
    <t>ESMALTE MADEIRA</t>
  </si>
  <si>
    <t>102220</t>
  </si>
  <si>
    <t>PINTURA TINTA DE ACABAMENTO (PIGMENTADA) ESMALTE SINTÉTICO EM MADEIRA, 2 DEMÃOS. AF_01/2021</t>
  </si>
  <si>
    <t>11.</t>
  </si>
  <si>
    <t>INSTALAÇÕES HIDRÁULICAS</t>
  </si>
  <si>
    <t>REGISTRO</t>
  </si>
  <si>
    <t>REGISTRO DE GAVETA BRUTO, Ø 2.1/2"</t>
  </si>
  <si>
    <t>REGISTRO DE GAVETA BRUTO, Ø 1 1/2"</t>
  </si>
  <si>
    <t>TUBULAÇÃO</t>
  </si>
  <si>
    <t>TUBO PVC SOLDÁVEL Ø 25 MM, INCLUSIVE CONEXÕES</t>
  </si>
  <si>
    <t>TUBO PVC SOLDÁVEL Ø 32 MM, INCLUSIVE CONEXÕES</t>
  </si>
  <si>
    <t>TUBO PVC SOLDÁVEL Ø 50 MM, INCLUSIVE CONEXÕES</t>
  </si>
  <si>
    <t>RESERVATÓRIO</t>
  </si>
  <si>
    <t>102623</t>
  </si>
  <si>
    <t>CAIXA D´ÁGUA EM POLIETILENO, 1000 LITROS (INCLUSOS TUBOS, CONEXÕES E TORNEIRA DE BÓIA) - FORNECIMENTO E INSTALAÇÃO. AF_06/2021</t>
  </si>
  <si>
    <t>TORNEIRA DE BÓIA P/ CAIXA D'AGUA 3/4"</t>
  </si>
  <si>
    <t>CONEXÕES</t>
  </si>
  <si>
    <t>JOELHO PCV SOLDAVEL 90º AGUA FRIA 25MM</t>
  </si>
  <si>
    <t>JOELHO PCV SOLDAVEL 90º AGUA FRIA 32MM</t>
  </si>
  <si>
    <t>JOELHO PCV SOLDAVEL 90º AGUA FRIA 50MM</t>
  </si>
  <si>
    <t>TE PVC DE REDUÇÃO 50MMX50MMX25MM</t>
  </si>
  <si>
    <t>LUVA DE REDUÇÃO 32MMX25MM</t>
  </si>
  <si>
    <t>11.13</t>
  </si>
  <si>
    <t>TE PVC SOLDÁVEL AGUA FRIA 50MM</t>
  </si>
  <si>
    <t>12.</t>
  </si>
  <si>
    <t>INSTALAÇÕES SANITÁRIAS</t>
  </si>
  <si>
    <t>CX SIFONADA</t>
  </si>
  <si>
    <t>CAIXA SIFONADA 100X100X50MM</t>
  </si>
  <si>
    <t>TUBO DE PVC SÉRIE NORMAL 100MM, FORNEC. E INSTALAÇÃO, INCLUSIVE CONEXÕES</t>
  </si>
  <si>
    <t>TUBO DE PVC SÉRIE NORMAL 40MM, FORNEC. E INSTALAÇÃO, INCLUSIVE CONEXÕES</t>
  </si>
  <si>
    <t>TUBO DE PVC SÉRIE NORMAL 50MM , FORNEC. E INSTALAÇÃO, INCLUSIVE CONEXÕES</t>
  </si>
  <si>
    <t>JOELHO PVC 45º ESGOTO 40 MM</t>
  </si>
  <si>
    <t>JUNÇÃO PVC ESGOTO 40 MM</t>
  </si>
  <si>
    <t>JOELHO PVC 45º ESGOTO 100 MM</t>
  </si>
  <si>
    <t>JUNÇÃO PVC ESGOTO 100 X 50 MM</t>
  </si>
  <si>
    <t>CX PASSAGEM</t>
  </si>
  <si>
    <t>CAIXA DE INSPEÇÃO EM ALVENARIA DE TIJOLO MEDINDO 900X900X800MM , COM TAMPÃO EM FERRO FUNDIDO</t>
  </si>
  <si>
    <t>CX GORDURA</t>
  </si>
  <si>
    <t xml:space="preserve">CAIXA DE GORDURA DUPLA (CAPACIDADE: 126 L), RETANGULAR, EM ALVENARIA C UN AS </t>
  </si>
  <si>
    <t>TANQUE SÉPTICO</t>
  </si>
  <si>
    <t>TANQUE SÉPTICO CIRCULAR, EM CONCRETO PRÉ-MOLDADO, DIÂMETRO INTERNO = 1,88 M, ALTURA INTERNA = 2,50 M, VOLUME ÚTIL: 6245,8 L (PARA 32 CONTRIBUINTES). AF_12/2020</t>
  </si>
  <si>
    <t>13.</t>
  </si>
  <si>
    <t>LOUÇAS E METAIS</t>
  </si>
  <si>
    <t>VASO SANITÁRIO</t>
  </si>
  <si>
    <t>VASO SANITARIO SIFONADO CONVENCIONAL COM LOUÇA BRANCA - FORNECIMENTO UN CR 206,41</t>
  </si>
  <si>
    <t>VÁLVULA</t>
  </si>
  <si>
    <t>VÁLVULA DE DESCARGA METÁLICA, BASE 1 1/2 ", ACABAMENTO METALICO CROMAD</t>
  </si>
  <si>
    <t>LAVATÓRIO</t>
  </si>
  <si>
    <t>LAVATÓRIO PEQUENO RAVENA/IZY COR BRANCO GELO, CÓDIGO: L.915, DECA, OU EQUIVALENTE, SEM COLUNA,(VÁLVULA, SIFAO E ENGATE FLEXÍVEL CROMADOS), EXCETO TORNEIRA</t>
  </si>
  <si>
    <t>TORNEIRA LAV</t>
  </si>
  <si>
    <t>TORNEIRA PARA LAVATÓRIO DE MESA BICA BAIXA IZY, CÓDIGO 1193.C37, DECA OU EQUIVALENTE: TORNEIRA CROMADA DE MESA, 1/2 OU 3/4, PARA LAVATÓRIO</t>
  </si>
  <si>
    <t xml:space="preserve">BARRA PNE </t>
  </si>
  <si>
    <t>BARRA DE APOIO, LINHA CONFORTO, CÓDIGO 2305.C, COR CROMADO, DECA OU EQUIVALENTE</t>
  </si>
  <si>
    <t>BARRA DE APOIO PARA LAVATÓRIO " U ", LINHA CONFORTO, AÇO POLIDO, DECA, OU EQUIVALENTE</t>
  </si>
  <si>
    <t>BARRA DE APOIO PARA PORTA, LINHA CONFORTO, CÓDIGO 2305,C, COR CROMADO, DECA OU EQUIVALENTE</t>
  </si>
  <si>
    <t>BANCADA  GRANITO E CUBA AÇO INOX</t>
  </si>
  <si>
    <t>93441</t>
  </si>
  <si>
    <t>BANCADA GRANITO CINZA  150 X 60 CM, COM CUBA DE EMBUTIR DE AÇO, VÁLVULA AMERICANA EM METAL, SIFÃO FLEXÍVEL EM PVC, ENGATE FLEXÍVEL 30 CM, TORNEIRA CROMADA LONGA, DE PAREDE, 1/2_x005F_x0094_ OU 3/4_x005F_x0094_, P/ COZINHA, PADRÃO POPULAR - FORNEC. E INSTALAÇÃO. AF_01/2020</t>
  </si>
  <si>
    <t>TORNEIRA COZ.</t>
  </si>
  <si>
    <t>TORNEIRA PARA COZINHA DE PAREDE LONGA, INCL. FORNECIMENTO E INSTALAÇÃO</t>
  </si>
  <si>
    <t>14.</t>
  </si>
  <si>
    <t>INSTALAÇÕES ELÉTRICAS 127V</t>
  </si>
  <si>
    <t>QUADRO GERAL</t>
  </si>
  <si>
    <t>QUADRO DE DISTRIBUIÇÃO DE ENERGIA EM CHAPA DE AÇO GALVANIZADO, DE EMBUTIR, COM BARRAMENTO TRIFÁSICO, PARA 12 DISJUNTORES DIN 100A - FORNECIMENTO E INSTALAÇÃO. AF_10/2020</t>
  </si>
  <si>
    <t>QUADRO DE DISTRIBUIÇÃO DE ENERGIA EM PVC, DE EMBUTIR, SEM BARRAMENTO, PARA 3 DISJUNTORES - FORNECIMENTO E INSTALAÇÃO. AF_10/2020</t>
  </si>
  <si>
    <t>LUZ FORRO</t>
  </si>
  <si>
    <t>97590 ADAP</t>
  </si>
  <si>
    <t>Luminária de Teto de LED de Sobrepor Calha Tubular 36W- FORNECIMENTO E INSTALAÇÃO. AF_02/2020</t>
  </si>
  <si>
    <t xml:space="preserve"> RFLETOR LED (4 NO CENTRO DE ATEND. E 1 NO GALPÃO)</t>
  </si>
  <si>
    <t>LUMINARIA LED REFLETOR RETANGULAR BIVOLT, LUZ BRANCA, 30 W</t>
  </si>
  <si>
    <t>ELETRODUTOS</t>
  </si>
  <si>
    <t>TUBULAÇÕES ALVENARIA  E FORRO : ELETRODUTO FLEXÍVEL CORRUGADO, PVC, DN 25 MM (3/4"), PARA CIRCUITOS TERMINAIS, INSTALADO EM FORRO - FORNECIMENTO E INSTALAÇÃO. AF_12/2015</t>
  </si>
  <si>
    <t>FIAÇÃO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</si>
  <si>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</si>
  <si>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</si>
  <si>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</si>
  <si>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</si>
  <si>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</si>
  <si>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CX PASSAGEM PISO EXTERNO</t>
  </si>
  <si>
    <t>CAIXA ENTERRADA ELÉTRICA RETANGULAR, EM CONCRETO PRÉ-MOLDADO, FUNDO COM BRITA, DIMENSÕES INTERNAS: 0,4X0,4X0,4 M. AF_12/2020</t>
  </si>
  <si>
    <t>pç</t>
  </si>
  <si>
    <t>TOMADAS</t>
  </si>
  <si>
    <t>TOMADAS  EMBUTIDA: 92000 TOMADA BAIXA DE EMBUTIR (1 MÓDULO), 2P+T 10 A, INCLUINDO SUPORTE E PLACA - FORNECIMENTO E INSTALAÇÃO. AF_12/2015 (1 TOMADA SOBREPOR NO GALPÃO)</t>
  </si>
  <si>
    <t>14.13</t>
  </si>
  <si>
    <t>INTERRUPTORES</t>
  </si>
  <si>
    <t>INTERRUPTORES: INTERRUPTOR SIMPLES (1 MÓDULO), 10A/250V, INCLUINDO SUPORTE E PLACA  (1 INTERRUP. NO GALPÃO)</t>
  </si>
  <si>
    <t>14.14</t>
  </si>
  <si>
    <t>DISJUNTORES</t>
  </si>
  <si>
    <t>DISJUNTORES MONOPOLAR  (10 A 40 A) 93657 DISJUNTOR MONOPOLAR TIPO DIN, CORRENTE NOMINAL DE 32A  (1 DISJ. NO GALPÃO)</t>
  </si>
  <si>
    <t>14.15</t>
  </si>
  <si>
    <t>DISJUNTOR BIPOLAR TIPO DIN, CORRENTE NOMINAL DE 16A - FORNECIMENTO E INSTALAÇÃO. AF_10/2020</t>
  </si>
  <si>
    <t>14.16</t>
  </si>
  <si>
    <t>ELETRODUTO ENTERRADO</t>
  </si>
  <si>
    <t>ELETRODUTO FLEXÍVEL CORRUGADO, PEAD, DN 50 (1 ½_X0094_) - FORNECIMENTO E INSTALAÇÃO. AF_04/2016</t>
  </si>
  <si>
    <t>M</t>
  </si>
  <si>
    <t>14.17</t>
  </si>
  <si>
    <t>VALAS ALIMENTAÇÃO ELÉTRICA</t>
  </si>
  <si>
    <t>ESCAVAÇÃO MANUAL DE VALA COM PROFUNDIDADE MENOR OU IGUAL A 1,30 M. AF_03/2016</t>
  </si>
  <si>
    <t>M³</t>
  </si>
  <si>
    <t>14.18</t>
  </si>
  <si>
    <t>REATERRO VALAS</t>
  </si>
  <si>
    <t>REATERRO MANUAL DE VALAS COM COMPACTAÇÃO MECANIZADA. AF_04/2016</t>
  </si>
  <si>
    <t>14.19</t>
  </si>
  <si>
    <t>ATERRAMENTO INSTALAÇÃO</t>
  </si>
  <si>
    <t>CAIXA DE INSPEÇÃO PARA ATERRAMENTO, CIRCULAR, EM POLIETILENO, DIÂMETRO INTERNO = 0,3 M. AF_12/2020</t>
  </si>
  <si>
    <t>14.20</t>
  </si>
  <si>
    <t>HASTE DE ATERRAMENTO 3/4 PARA SPDA - FORNECIMENTO E INSTALAÇÃO. AF_12/2017 (MÍN 3,0 M)</t>
  </si>
  <si>
    <t>15.</t>
  </si>
  <si>
    <t>SERVIÇOS FINAIS</t>
  </si>
  <si>
    <t>LIMPEZA DE OBRA</t>
  </si>
  <si>
    <t>99804 adap</t>
  </si>
  <si>
    <t>LIMPEZA DE OBRA E ARREMATES FINAIS</t>
  </si>
  <si>
    <t xml:space="preserve">GALPÃO PRÉ-MOLDADO </t>
  </si>
  <si>
    <t>16.</t>
  </si>
  <si>
    <t>GAPÃO: FUNDAÇÃO E ESTRUTURA</t>
  </si>
  <si>
    <t>ESTACA COM ARMAÇÃO</t>
  </si>
  <si>
    <t>ESTACA BROCA DE CONCRETO, DIÂMETRO DE 25CM, ESCAVAÇÃO MANUAL COM TRADO CONCHA, COM ARMADURA DE ARRANQUE. AF_05/2020</t>
  </si>
  <si>
    <t>VALA BLOCO</t>
  </si>
  <si>
    <t>ESCAVAÇÃO MANUAL PARA BLOCO DE COROAMENTO OU SAPATA, COM PREVISÃO DE FÔRMA. AF_06/2017</t>
  </si>
  <si>
    <t>CONCRETO BLOCO 50X50X50</t>
  </si>
  <si>
    <t>CONCRETO FCK = 20MPA, TRAÇO 1:2,7:3 (CIMENTO/ AREIA MÉDIA/ BRITA 1)  - PREPARO MECÂNICO COM BETONEIRA 600 L. AF_07/2016</t>
  </si>
  <si>
    <t>ARMAÇÃO BLOCO 8.0 MM</t>
  </si>
  <si>
    <t>ARMAÇÃO DE BLOCO, VIGA BALDRAME OU SAPATA UTILIZANDO AÇO CA-50 DE 8 MM - MONTAGEM. AF_06/2017</t>
  </si>
  <si>
    <t>FÔRMA PILAR</t>
  </si>
  <si>
    <t>MONTAGEM E DESMONTAGEM DE FÔRMA DE PILARES RETANGULARES E ESTRUTURAS SIMILARES, PÉ-DIREITO SIMPLES, EM CHAPA DE MADEIRA COMPENSADA PLASTIFICADA, 18 UTILIZAÇÕES. AF_09/2020</t>
  </si>
  <si>
    <t>ARMAÇÃO PILAR 12,5MM E ESTRIBO 5.0 MM</t>
  </si>
  <si>
    <t>ARMAÇÃO DE PILAR OU VIGA DE ESTRUTURA CONVENCIONAL DE CONCRETO ARMADO UTILIZANDO AÇO CA-50 DE 12,5 MM - MONTAGEM. AF_06/2022</t>
  </si>
  <si>
    <t>KG</t>
  </si>
  <si>
    <t>CONCRETO PILAR</t>
  </si>
  <si>
    <t>103672</t>
  </si>
  <si>
    <t>CONCRETAGEM DE PILARES, FCK = 25 MPA, COM USO DE BOMBA - LANÇAMENTO, ADENSAMENTO E ACABAMENTO. AF_02/2022</t>
  </si>
  <si>
    <t>FECHAMENTO (3 VIAS PERÍMETRO)</t>
  </si>
  <si>
    <t>TUBO DE AÇO GALVANIZADO COM COSTURA, CLASSE MÉDIA, CONEXÃO RANHURADA,DN 50 (2"), INSTALADO EM PRUMADAS - FORNECIMENTO E INSTALAÇÃO E PINTURA EM TINTA ESMALTE</t>
  </si>
  <si>
    <t>17.</t>
  </si>
  <si>
    <t>GAPÃO: EST. METÁLICA E COBERTURA</t>
  </si>
  <si>
    <t>TESOURAS DE AÇO EM ESTRUTURAS EM udc</t>
  </si>
  <si>
    <t>FABRICAÇÃO E INSTALAÇÃO DE TESOURA INTEIRA EM AÇO, PARA VÃOS DE 3 A 12 M E PARA QUALQUER TIPO DE TELHA, INCLUSO IÇAMENTO. AF_12/2015</t>
  </si>
  <si>
    <t>MUNK – GUINDAUTO</t>
  </si>
  <si>
    <t>GUINDAUTO HIDRÁULICO, CAPACIDADE MÁXIMA DE CARGA 3300 KG, MOMENTO MÁXIMO DE CARGA 5,8 TM, ALCANCE MÁXIMO HORIZONTAL 7,60 M, INCLUSIVE CAMINHÃO TOCO PBT 16.000 KG, POTÊNCIA DE 189 CV - MATERIAIS NA OPERAÇÃO. AF_03/2016</t>
  </si>
  <si>
    <t>H</t>
  </si>
  <si>
    <t xml:space="preserve"> TERÇAS Ue 75x40x15x3mm </t>
  </si>
  <si>
    <t xml:space="preserve">PERFIL LAMINADO OU SOLDADO EM AÇO ESTRUTURAL, COM CONEXÕES SOLDADAS, INCLUSOS MÃO DE OBRA, TRANSPORTE E IÇAMENTO UTILIZANDO GUINDASTE - FORNECIMENTO E INSTALAÇÃO. AF_01/2020_P
</t>
  </si>
  <si>
    <t>CONTRAVENTAMENTO E TRAVAMENTOS</t>
  </si>
  <si>
    <t>ARMAÇÃO UTILIZANDO AÇO CA-25 DE 8,0 MM - MONTAGEM. AF_12/2015</t>
  </si>
  <si>
    <t>TELHAMENTO galvalume 0,43mm</t>
  </si>
  <si>
    <t>TELHAMENTO COM TELHA DE AÇO/ALUMÍNIO E = 0,5 MM, COM ATÉ 2 ÁGUAS, INCLUSO IÇAMENTO. AF_07/2019</t>
  </si>
  <si>
    <t>PINTURA PERFIS METÁLICOS</t>
  </si>
  <si>
    <t>PINTURA COM TINTA ALQUÍDICA DE ACABAMENTO (ESMALTE SINTÉTICO ACETINADO) PULVERIZADA SOBRE PERFIL METÁLICO EXECUTADO EM FÁBRICA (POR DEMÃO). AF_01/2020</t>
  </si>
  <si>
    <t>CRONOGRAMA FÍSICO- FINANCEIRO</t>
  </si>
  <si>
    <t>SERVIÇO/LOCAL</t>
  </si>
  <si>
    <t>MÊS 1</t>
  </si>
  <si>
    <t>MÊS 2</t>
  </si>
  <si>
    <t>MÊS 3</t>
  </si>
  <si>
    <t>MÊS 4</t>
  </si>
  <si>
    <t>MÊS 5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</si>
  <si>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</si>
  <si>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</si>
  <si>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</si>
  <si>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</si>
  <si>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</si>
  <si>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</si>
  <si>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</si>
  <si>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</si>
  <si>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</si>
  <si>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</si>
  <si>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</si>
  <si>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</si>
  <si>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</si>
  <si>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</si>
  <si>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</si>
  <si>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</si>
  <si>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</si>
  <si>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</si>
  <si>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</si>
  <si>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</si>
  <si>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</si>
  <si>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</si>
  <si>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</si>
  <si>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</si>
  <si>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</si>
  <si>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</si>
  <si>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</si>
  <si>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</si>
  <si>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</si>
  <si>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</si>
  <si>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</si>
  <si>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</si>
  <si>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</si>
  <si>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</si>
  <si>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</si>
  <si>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</si>
  <si>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</si>
  <si>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</si>
  <si>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</si>
  <si>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</si>
  <si>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</si>
  <si>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</si>
  <si>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</si>
  <si>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REDUZIDO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</si>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</sst>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R$ -416]#,##0.00"/>
    <numFmt numFmtId="165" formatCode="[$R$-416]\ #,##0.00;[Red]\-[$R$-416]\ #,##0.00"/>
    <numFmt numFmtId="166" formatCode="#,##0.00\ ;\-#,##0.00\ "/>
    <numFmt numFmtId="167" formatCode="d\.m"/>
    <numFmt numFmtId="168" formatCode="0.0%"/>
    <numFmt numFmtId="169" formatCode="_-&quot;R$ &quot;* #,##0.00_-;&quot;-R$ &quot;* #,##0.00_-;_-&quot;R$ &quot;* \-??_-;_-@"/>
  </numFmts>
  <fonts count="15" x14ac:knownFonts="1">
    <font>
      <sz val="10"/>
      <color rgb="FF000000"/>
      <name val="Arial"/>
      <charset val="1"/>
    </font>
    <font>
      <sz val="10"/>
      <color rgb="FF000000"/>
      <name val="Calibri"/>
      <charset val="1"/>
    </font>
    <font>
      <b/>
      <sz val="10"/>
      <color rgb="FF345168"/>
      <name val="Calibri"/>
      <charset val="1"/>
    </font>
    <font>
      <b/>
      <sz val="10"/>
      <color rgb="FF000000"/>
      <name val="Calibri"/>
      <charset val="1"/>
    </font>
    <font>
      <b/>
      <sz val="8"/>
      <color rgb="FF000000"/>
      <name val="Calibri"/>
      <charset val="1"/>
    </font>
    <font>
      <b/>
      <sz val="10"/>
      <color rgb="FFFFFFFF"/>
      <name val="Calibri"/>
      <charset val="1"/>
    </font>
    <font>
      <i/>
      <sz val="10"/>
      <color rgb="FF000000"/>
      <name val="Calibri"/>
      <charset val="1"/>
    </font>
    <font>
      <sz val="8"/>
      <color rgb="FF000000"/>
      <name val="Calibri"/>
      <charset val="1"/>
    </font>
    <font>
      <sz val="11"/>
      <color rgb="FF000000"/>
      <name val="Calibri"/>
      <charset val="1"/>
    </font>
    <font>
      <sz val="11"/>
      <color rgb="FF000000"/>
      <name val="Arial"/>
      <charset val="1"/>
    </font>
    <font>
      <b/>
      <sz val="11"/>
      <color rgb="FFFFFFFF"/>
      <name val="Calibri"/>
      <charset val="1"/>
    </font>
    <font>
      <b/>
      <sz val="11"/>
      <color rgb="FF000000"/>
      <name val="Calibri"/>
      <charset val="1"/>
    </font>
    <font>
      <sz val="8"/>
      <color rgb="FF000000"/>
      <name val="Arial"/>
      <charset val="1"/>
    </font>
    <font>
      <b/>
      <sz val="14"/>
      <color rgb="FFFFFFFF"/>
      <name val="Calibri"/>
      <charset val="1"/>
    </font>
    <font>
      <b/>
      <sz val="8"/>
      <color rgb="FF000000"/>
      <name val="Arial"/>
      <charset val="1"/>
    </font>
  </fonts>
  <fills count="8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9FC5E8"/>
        <bgColor rgb="FFC9DAF8"/>
      </patternFill>
    </fill>
    <fill>
      <patternFill patternType="solid">
        <fgColor rgb="FFC9DAF8"/>
        <bgColor rgb="FFD9D9D9"/>
      </patternFill>
    </fill>
    <fill>
      <patternFill patternType="solid">
        <fgColor rgb="FFD9D9D9"/>
        <bgColor rgb="FFC9DAF8"/>
      </patternFill>
    </fill>
  </fills>
  <borders count="1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7" fillId="0" borderId="4" xfId="0" applyFont="1" applyBorder="1" applyAlignment="1"/>
    <xf numFmtId="0" fontId="8" fillId="0" borderId="4" xfId="0" applyFont="1" applyBorder="1" applyAlignment="1"/>
    <xf numFmtId="0" fontId="10" fillId="2" borderId="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/>
    <xf numFmtId="164" fontId="5" fillId="2" borderId="6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3" xfId="0" applyNumberFormat="1" applyFont="1" applyBorder="1" applyAlignment="1">
      <alignment horizontal="center" wrapText="1"/>
    </xf>
    <xf numFmtId="164" fontId="1" fillId="3" borderId="4" xfId="0" applyNumberFormat="1" applyFont="1" applyFill="1" applyBorder="1" applyAlignment="1">
      <alignment horizontal="center" wrapText="1"/>
    </xf>
    <xf numFmtId="10" fontId="1" fillId="3" borderId="4" xfId="0" applyNumberFormat="1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4" fillId="3" borderId="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164" fontId="4" fillId="3" borderId="4" xfId="0" applyNumberFormat="1" applyFont="1" applyFill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6" fontId="1" fillId="5" borderId="0" xfId="0" applyNumberFormat="1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wrapText="1"/>
    </xf>
    <xf numFmtId="166" fontId="1" fillId="5" borderId="0" xfId="0" applyNumberFormat="1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left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3" fillId="5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166" fontId="1" fillId="3" borderId="7" xfId="0" applyNumberFormat="1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wrapText="1"/>
    </xf>
    <xf numFmtId="166" fontId="1" fillId="3" borderId="7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left" vertical="center" wrapText="1"/>
    </xf>
    <xf numFmtId="166" fontId="1" fillId="3" borderId="8" xfId="0" applyNumberFormat="1" applyFont="1" applyFill="1" applyBorder="1" applyAlignment="1">
      <alignment horizontal="left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165" fontId="1" fillId="4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6" fontId="7" fillId="3" borderId="7" xfId="0" applyNumberFormat="1" applyFont="1" applyFill="1" applyBorder="1" applyAlignment="1">
      <alignment horizontal="left" vertical="center" wrapText="1"/>
    </xf>
    <xf numFmtId="165" fontId="1" fillId="3" borderId="4" xfId="0" applyNumberFormat="1" applyFont="1" applyFill="1" applyBorder="1" applyAlignment="1">
      <alignment horizontal="center" vertical="center" wrapText="1"/>
    </xf>
    <xf numFmtId="167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wrapText="1"/>
    </xf>
    <xf numFmtId="0" fontId="6" fillId="6" borderId="0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wrapText="1"/>
    </xf>
    <xf numFmtId="4" fontId="1" fillId="6" borderId="0" xfId="0" applyNumberFormat="1" applyFont="1" applyFill="1" applyBorder="1" applyAlignment="1">
      <alignment horizontal="center" vertical="center" wrapText="1"/>
    </xf>
    <xf numFmtId="164" fontId="1" fillId="6" borderId="0" xfId="0" applyNumberFormat="1" applyFont="1" applyFill="1" applyBorder="1" applyAlignment="1">
      <alignment horizontal="center" wrapText="1"/>
    </xf>
    <xf numFmtId="165" fontId="3" fillId="0" borderId="0" xfId="0" applyNumberFormat="1" applyFont="1" applyAlignment="1">
      <alignment wrapText="1"/>
    </xf>
    <xf numFmtId="165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Border="1" applyAlignment="1">
      <alignment wrapText="1"/>
    </xf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0" borderId="12" xfId="0" applyFont="1" applyBorder="1" applyAlignment="1"/>
    <xf numFmtId="0" fontId="8" fillId="0" borderId="0" xfId="0" applyFont="1" applyAlignment="1"/>
    <xf numFmtId="0" fontId="8" fillId="0" borderId="13" xfId="0" applyFont="1" applyBorder="1" applyAlignment="1"/>
    <xf numFmtId="0" fontId="8" fillId="0" borderId="14" xfId="0" applyFont="1" applyBorder="1" applyAlignment="1"/>
    <xf numFmtId="49" fontId="8" fillId="0" borderId="15" xfId="0" applyNumberFormat="1" applyFont="1" applyBorder="1" applyAlignment="1"/>
    <xf numFmtId="0" fontId="8" fillId="0" borderId="15" xfId="0" applyFont="1" applyBorder="1" applyAlignment="1"/>
    <xf numFmtId="0" fontId="8" fillId="0" borderId="16" xfId="0" applyFont="1" applyBorder="1" applyAlignment="1"/>
    <xf numFmtId="0" fontId="8" fillId="0" borderId="4" xfId="0" applyFont="1" applyBorder="1" applyAlignment="1"/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168" fontId="8" fillId="0" borderId="4" xfId="0" applyNumberFormat="1" applyFont="1" applyBorder="1" applyAlignment="1"/>
    <xf numFmtId="4" fontId="8" fillId="4" borderId="4" xfId="0" applyNumberFormat="1" applyFont="1" applyFill="1" applyBorder="1" applyAlignment="1">
      <alignment horizontal="center"/>
    </xf>
    <xf numFmtId="166" fontId="7" fillId="7" borderId="4" xfId="0" applyNumberFormat="1" applyFont="1" applyFill="1" applyBorder="1" applyAlignment="1"/>
    <xf numFmtId="165" fontId="8" fillId="7" borderId="4" xfId="0" applyNumberFormat="1" applyFont="1" applyFill="1" applyBorder="1" applyAlignment="1"/>
    <xf numFmtId="10" fontId="8" fillId="4" borderId="4" xfId="0" applyNumberFormat="1" applyFont="1" applyFill="1" applyBorder="1" applyAlignment="1">
      <alignment horizontal="right" vertical="top"/>
    </xf>
    <xf numFmtId="168" fontId="8" fillId="4" borderId="4" xfId="0" applyNumberFormat="1" applyFont="1" applyFill="1" applyBorder="1" applyAlignment="1">
      <alignment horizontal="right"/>
    </xf>
    <xf numFmtId="169" fontId="8" fillId="4" borderId="4" xfId="0" applyNumberFormat="1" applyFont="1" applyFill="1" applyBorder="1" applyAlignment="1">
      <alignment horizontal="right"/>
    </xf>
    <xf numFmtId="169" fontId="8" fillId="4" borderId="4" xfId="0" applyNumberFormat="1" applyFont="1" applyFill="1" applyBorder="1" applyAlignment="1">
      <alignment horizontal="right" wrapText="1"/>
    </xf>
    <xf numFmtId="10" fontId="8" fillId="0" borderId="4" xfId="0" applyNumberFormat="1" applyFont="1" applyBorder="1" applyAlignment="1"/>
    <xf numFmtId="49" fontId="8" fillId="7" borderId="4" xfId="0" applyNumberFormat="1" applyFont="1" applyFill="1" applyBorder="1" applyAlignment="1">
      <alignment horizontal="center"/>
    </xf>
    <xf numFmtId="10" fontId="8" fillId="7" borderId="4" xfId="0" applyNumberFormat="1" applyFont="1" applyFill="1" applyBorder="1" applyAlignment="1">
      <alignment horizontal="right" vertical="top"/>
    </xf>
    <xf numFmtId="168" fontId="8" fillId="7" borderId="4" xfId="0" applyNumberFormat="1" applyFont="1" applyFill="1" applyBorder="1" applyAlignment="1">
      <alignment horizontal="right" wrapText="1"/>
    </xf>
    <xf numFmtId="169" fontId="8" fillId="7" borderId="4" xfId="0" applyNumberFormat="1" applyFont="1" applyFill="1" applyBorder="1" applyAlignment="1">
      <alignment horizontal="right"/>
    </xf>
    <xf numFmtId="169" fontId="8" fillId="7" borderId="4" xfId="0" applyNumberFormat="1" applyFont="1" applyFill="1" applyBorder="1" applyAlignment="1">
      <alignment horizontal="right" wrapText="1"/>
    </xf>
    <xf numFmtId="49" fontId="8" fillId="4" borderId="4" xfId="0" applyNumberFormat="1" applyFont="1" applyFill="1" applyBorder="1" applyAlignment="1">
      <alignment horizontal="center"/>
    </xf>
    <xf numFmtId="165" fontId="8" fillId="4" borderId="4" xfId="0" applyNumberFormat="1" applyFont="1" applyFill="1" applyBorder="1" applyAlignment="1"/>
    <xf numFmtId="168" fontId="8" fillId="4" borderId="4" xfId="0" applyNumberFormat="1" applyFont="1" applyFill="1" applyBorder="1" applyAlignment="1"/>
    <xf numFmtId="168" fontId="8" fillId="7" borderId="4" xfId="0" applyNumberFormat="1" applyFont="1" applyFill="1" applyBorder="1" applyAlignment="1"/>
    <xf numFmtId="168" fontId="9" fillId="0" borderId="4" xfId="0" applyNumberFormat="1" applyFont="1" applyBorder="1" applyAlignment="1">
      <alignment horizontal="right"/>
    </xf>
    <xf numFmtId="9" fontId="8" fillId="7" borderId="4" xfId="0" applyNumberFormat="1" applyFont="1" applyFill="1" applyBorder="1" applyAlignment="1"/>
    <xf numFmtId="9" fontId="9" fillId="0" borderId="4" xfId="0" applyNumberFormat="1" applyFont="1" applyBorder="1" applyAlignment="1">
      <alignment horizontal="right"/>
    </xf>
    <xf numFmtId="10" fontId="9" fillId="0" borderId="4" xfId="0" applyNumberFormat="1" applyFont="1" applyBorder="1" applyAlignment="1">
      <alignment horizontal="right"/>
    </xf>
    <xf numFmtId="49" fontId="8" fillId="0" borderId="4" xfId="0" applyNumberFormat="1" applyFont="1" applyBorder="1" applyAlignment="1"/>
    <xf numFmtId="0" fontId="8" fillId="0" borderId="4" xfId="0" applyFont="1" applyBorder="1" applyAlignment="1">
      <alignment wrapText="1"/>
    </xf>
    <xf numFmtId="165" fontId="11" fillId="0" borderId="4" xfId="0" applyNumberFormat="1" applyFont="1" applyBorder="1" applyAlignment="1"/>
    <xf numFmtId="10" fontId="11" fillId="0" borderId="4" xfId="0" applyNumberFormat="1" applyFont="1" applyBorder="1" applyAlignment="1">
      <alignment horizontal="right" vertical="top"/>
    </xf>
    <xf numFmtId="9" fontId="8" fillId="0" borderId="4" xfId="0" applyNumberFormat="1" applyFont="1" applyBorder="1" applyAlignment="1"/>
    <xf numFmtId="169" fontId="8" fillId="0" borderId="4" xfId="0" applyNumberFormat="1" applyFont="1" applyBorder="1" applyAlignment="1"/>
    <xf numFmtId="0" fontId="8" fillId="3" borderId="4" xfId="0" applyFont="1" applyFill="1" applyBorder="1" applyAlignment="1"/>
    <xf numFmtId="0" fontId="11" fillId="3" borderId="4" xfId="0" applyFont="1" applyFill="1" applyBorder="1" applyAlignment="1">
      <alignment horizontal="right" vertical="top" wrapText="1"/>
    </xf>
    <xf numFmtId="0" fontId="8" fillId="4" borderId="4" xfId="0" applyFont="1" applyFill="1" applyBorder="1" applyAlignment="1"/>
    <xf numFmtId="0" fontId="11" fillId="4" borderId="4" xfId="0" applyFont="1" applyFill="1" applyBorder="1" applyAlignment="1">
      <alignment horizontal="right" vertical="top" wrapText="1"/>
    </xf>
    <xf numFmtId="9" fontId="8" fillId="4" borderId="4" xfId="0" applyNumberFormat="1" applyFont="1" applyFill="1" applyBorder="1" applyAlignment="1"/>
    <xf numFmtId="49" fontId="8" fillId="0" borderId="0" xfId="0" applyNumberFormat="1" applyFont="1" applyAlignment="1"/>
    <xf numFmtId="0" fontId="4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0" fontId="12" fillId="0" borderId="0" xfId="0" applyNumberFormat="1" applyFont="1" applyAlignment="1">
      <alignment horizontal="center"/>
    </xf>
    <xf numFmtId="10" fontId="7" fillId="0" borderId="4" xfId="0" applyNumberFormat="1" applyFont="1" applyBorder="1" applyAlignment="1">
      <alignment horizontal="center"/>
    </xf>
    <xf numFmtId="10" fontId="12" fillId="0" borderId="4" xfId="0" applyNumberFormat="1" applyFont="1" applyBorder="1" applyAlignment="1">
      <alignment horizontal="center"/>
    </xf>
    <xf numFmtId="167" fontId="12" fillId="0" borderId="4" xfId="0" applyNumberFormat="1" applyFont="1" applyBorder="1" applyAlignment="1">
      <alignment horizontal="right"/>
    </xf>
    <xf numFmtId="0" fontId="12" fillId="0" borderId="4" xfId="0" applyFont="1" applyBorder="1" applyAlignment="1"/>
    <xf numFmtId="10" fontId="14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169" fontId="11" fillId="3" borderId="4" xfId="0" applyNumberFormat="1" applyFont="1" applyFill="1" applyBorder="1" applyAlignment="1">
      <alignment horizontal="right" vertical="top"/>
    </xf>
    <xf numFmtId="10" fontId="11" fillId="4" borderId="4" xfId="0" applyNumberFormat="1" applyFont="1" applyFill="1" applyBorder="1" applyAlignment="1">
      <alignment horizontal="right"/>
    </xf>
    <xf numFmtId="0" fontId="8" fillId="2" borderId="9" xfId="0" applyFont="1" applyFill="1" applyBorder="1" applyAlignment="1"/>
    <xf numFmtId="0" fontId="8" fillId="2" borderId="0" xfId="0" applyFont="1" applyFill="1" applyBorder="1" applyAlignment="1"/>
    <xf numFmtId="49" fontId="8" fillId="0" borderId="0" xfId="0" applyNumberFormat="1" applyFont="1" applyBorder="1" applyAlignment="1"/>
    <xf numFmtId="0" fontId="0" fillId="0" borderId="0" xfId="0" applyFont="1" applyBorder="1" applyAlignment="1"/>
    <xf numFmtId="0" fontId="10" fillId="2" borderId="6" xfId="0" applyFont="1" applyFill="1" applyBorder="1" applyAlignment="1"/>
    <xf numFmtId="0" fontId="4" fillId="0" borderId="4" xfId="0" applyFont="1" applyBorder="1" applyAlignment="1">
      <alignment horizontal="center"/>
    </xf>
    <xf numFmtId="0" fontId="7" fillId="0" borderId="4" xfId="0" applyFont="1" applyBorder="1" applyAlignment="1">
      <alignment vertical="top"/>
    </xf>
    <xf numFmtId="0" fontId="8" fillId="0" borderId="16" xfId="0" applyFont="1" applyBorder="1" applyAlignment="1"/>
    <xf numFmtId="0" fontId="12" fillId="0" borderId="4" xfId="0" applyFont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FC5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45168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809640</xdr:colOff>
      <xdr:row>1</xdr:row>
      <xdr:rowOff>28440</xdr:rowOff>
    </xdr:from>
    <xdr:to>
      <xdr:col>2</xdr:col>
      <xdr:colOff>531000</xdr:colOff>
      <xdr:row>9</xdr:row>
      <xdr:rowOff>161670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/>
        <a:stretch/>
      </xdr:blipFill>
      <xdr:spPr>
        <a:xfrm>
          <a:off x="1294560" y="218880"/>
          <a:ext cx="1723680" cy="1676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1847880</xdr:colOff>
      <xdr:row>1</xdr:row>
      <xdr:rowOff>85680</xdr:rowOff>
    </xdr:from>
    <xdr:to>
      <xdr:col>3</xdr:col>
      <xdr:colOff>158040</xdr:colOff>
      <xdr:row>10</xdr:row>
      <xdr:rowOff>28080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62360" y="276120"/>
          <a:ext cx="1380600" cy="1580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704880</xdr:colOff>
      <xdr:row>1</xdr:row>
      <xdr:rowOff>181080</xdr:rowOff>
    </xdr:from>
    <xdr:to>
      <xdr:col>4</xdr:col>
      <xdr:colOff>8640</xdr:colOff>
      <xdr:row>9</xdr:row>
      <xdr:rowOff>123840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34200" y="371520"/>
          <a:ext cx="1333080" cy="1466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98"/>
  <sheetViews>
    <sheetView tabSelected="1" zoomScaleNormal="100" workbookViewId="0">
      <selection activeCell="O6" sqref="O6"/>
    </sheetView>
  </sheetViews>
  <sheetFormatPr defaultRowHeight="12.75" x14ac:dyDescent="0.2"/>
  <cols>
    <col min="1" max="1" width="6.85546875" customWidth="1"/>
    <col min="2" max="2" width="28.42578125" customWidth="1"/>
    <col min="3" max="3" width="11.7109375" customWidth="1"/>
    <col min="4" max="4" width="45.5703125" customWidth="1"/>
    <col min="5" max="5" width="10.28515625" customWidth="1"/>
    <col min="6" max="6" width="7.5703125" customWidth="1"/>
    <col min="7" max="7" width="15.140625" customWidth="1"/>
    <col min="8" max="8" width="15.85546875" customWidth="1"/>
    <col min="9" max="9" width="13.28515625" customWidth="1"/>
    <col min="10" max="10" width="17.85546875" customWidth="1"/>
    <col min="11" max="11" width="13.42578125" customWidth="1"/>
    <col min="12" max="12" width="12.85546875" customWidth="1"/>
    <col min="13" max="13" width="13.42578125" customWidth="1"/>
    <col min="14" max="14" width="13.7109375" customWidth="1"/>
    <col min="15" max="15" width="12.28515625" bestFit="1" customWidth="1"/>
    <col min="16" max="33" width="11.5703125" customWidth="1"/>
    <col min="34" max="1025" width="12.5703125" customWidth="1"/>
  </cols>
  <sheetData>
    <row r="1" spans="1:33" x14ac:dyDescent="0.2">
      <c r="A1" s="15"/>
      <c r="B1" s="15"/>
      <c r="C1" s="15"/>
      <c r="D1" s="15"/>
      <c r="E1" s="15"/>
      <c r="F1" s="15"/>
      <c r="G1" s="15"/>
      <c r="H1" s="15"/>
      <c r="I1" s="16"/>
      <c r="J1" s="16"/>
      <c r="K1" s="16"/>
      <c r="L1" s="16"/>
      <c r="M1" s="16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</row>
    <row r="2" spans="1:33" x14ac:dyDescent="0.2">
      <c r="A2" s="18"/>
      <c r="B2" s="18"/>
      <c r="C2" s="18"/>
      <c r="D2" s="18"/>
      <c r="E2" s="18"/>
      <c r="F2" s="18"/>
      <c r="G2" s="18"/>
      <c r="H2" s="18"/>
      <c r="I2" s="19"/>
      <c r="J2" s="19"/>
      <c r="K2" s="19"/>
      <c r="L2" s="19"/>
      <c r="M2" s="19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ht="15" customHeight="1" x14ac:dyDescent="0.2">
      <c r="A3" s="14"/>
      <c r="B3" s="14"/>
      <c r="C3" s="14"/>
      <c r="D3" s="13" t="s">
        <v>0</v>
      </c>
      <c r="E3" s="13"/>
      <c r="F3" s="13"/>
      <c r="G3" s="13"/>
      <c r="H3" s="21"/>
      <c r="I3" s="19"/>
      <c r="J3" s="19"/>
      <c r="K3" s="19"/>
      <c r="L3" s="22"/>
      <c r="M3" s="22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3" ht="15" customHeight="1" x14ac:dyDescent="0.2">
      <c r="A4" s="14"/>
      <c r="B4" s="14"/>
      <c r="C4" s="14"/>
      <c r="D4" s="12" t="s">
        <v>1</v>
      </c>
      <c r="E4" s="12"/>
      <c r="F4" s="12"/>
      <c r="G4" s="12"/>
      <c r="H4" s="23"/>
      <c r="I4" s="19"/>
      <c r="J4" s="19"/>
      <c r="K4" s="24"/>
      <c r="L4" s="25" t="s">
        <v>2</v>
      </c>
      <c r="M4" s="26">
        <v>0.27700000000000002</v>
      </c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</row>
    <row r="5" spans="1:33" ht="15" customHeight="1" x14ac:dyDescent="0.2">
      <c r="A5" s="14"/>
      <c r="B5" s="14"/>
      <c r="C5" s="14"/>
      <c r="D5" s="13" t="s">
        <v>3</v>
      </c>
      <c r="E5" s="13"/>
      <c r="F5" s="13"/>
      <c r="G5" s="13"/>
      <c r="H5" s="23"/>
      <c r="I5" s="19"/>
      <c r="J5" s="19"/>
      <c r="K5" s="24"/>
      <c r="L5" s="11"/>
      <c r="M5" s="11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ht="15" customHeight="1" x14ac:dyDescent="0.2">
      <c r="A6" s="14"/>
      <c r="B6" s="14"/>
      <c r="C6" s="14"/>
      <c r="D6" s="10" t="s">
        <v>4</v>
      </c>
      <c r="E6" s="10"/>
      <c r="F6" s="10"/>
      <c r="G6" s="10"/>
      <c r="H6" s="23"/>
      <c r="I6" s="19"/>
      <c r="J6" s="19"/>
      <c r="K6" s="24"/>
      <c r="L6" s="27" t="s">
        <v>5</v>
      </c>
      <c r="M6" s="27">
        <f>SUM(M7+M8)</f>
        <v>530566.94000000006</v>
      </c>
      <c r="N6" s="17">
        <v>361336.66</v>
      </c>
      <c r="O6" s="28">
        <f>M6-N6</f>
        <v>169230.28000000009</v>
      </c>
      <c r="P6" s="29">
        <f>M6/N6</f>
        <v>1.4683451715084765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15" customHeight="1" x14ac:dyDescent="0.2">
      <c r="A7" s="14"/>
      <c r="B7" s="14"/>
      <c r="C7" s="14"/>
      <c r="D7" s="12" t="s">
        <v>6</v>
      </c>
      <c r="E7" s="12"/>
      <c r="F7" s="12"/>
      <c r="G7" s="12"/>
      <c r="H7" s="23"/>
      <c r="I7" s="19"/>
      <c r="J7" s="19"/>
      <c r="K7" s="24"/>
      <c r="L7" s="30" t="s">
        <v>7</v>
      </c>
      <c r="M7" s="27">
        <f>SUM(N14:N136)</f>
        <v>210400.32000000004</v>
      </c>
      <c r="N7" s="17">
        <v>147801.16</v>
      </c>
      <c r="O7" s="31">
        <f>M7-N7</f>
        <v>62599.160000000033</v>
      </c>
      <c r="P7" s="29">
        <f>M7/N7</f>
        <v>1.4235363240721524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</row>
    <row r="8" spans="1:33" ht="15" customHeight="1" x14ac:dyDescent="0.2">
      <c r="A8" s="14"/>
      <c r="B8" s="14"/>
      <c r="C8" s="14"/>
      <c r="D8" s="12" t="s">
        <v>8</v>
      </c>
      <c r="E8" s="12"/>
      <c r="F8" s="12"/>
      <c r="G8" s="12"/>
      <c r="H8" s="23"/>
      <c r="I8" s="19"/>
      <c r="J8" s="19"/>
      <c r="K8" s="24"/>
      <c r="L8" s="32" t="s">
        <v>9</v>
      </c>
      <c r="M8" s="27">
        <f>SUM(N139:N156)</f>
        <v>320166.62</v>
      </c>
      <c r="N8" s="17">
        <v>213535.5</v>
      </c>
      <c r="O8" s="31">
        <f>M8-N8</f>
        <v>106631.12</v>
      </c>
      <c r="P8" s="29">
        <f>M8/N8</f>
        <v>1.4993601532297909</v>
      </c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ht="15" customHeight="1" x14ac:dyDescent="0.2">
      <c r="A9" s="14"/>
      <c r="B9" s="14"/>
      <c r="C9" s="14"/>
      <c r="D9" s="12" t="s">
        <v>10</v>
      </c>
      <c r="E9" s="12"/>
      <c r="F9" s="12"/>
      <c r="G9" s="12"/>
      <c r="H9" s="23"/>
      <c r="I9" s="19"/>
      <c r="J9" s="19"/>
      <c r="K9" s="19"/>
      <c r="L9" s="33"/>
      <c r="M9" s="33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</row>
    <row r="10" spans="1:33" x14ac:dyDescent="0.2">
      <c r="A10" s="20"/>
      <c r="B10" s="20"/>
      <c r="C10" s="20"/>
      <c r="D10" s="20"/>
      <c r="E10" s="20"/>
      <c r="F10" s="20"/>
      <c r="G10" s="20"/>
      <c r="H10" s="20"/>
      <c r="I10" s="34"/>
      <c r="J10" s="34"/>
      <c r="K10" s="34"/>
      <c r="L10" s="34"/>
      <c r="M10" s="34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5" customHeight="1" x14ac:dyDescent="0.2">
      <c r="A11" s="9" t="s">
        <v>11</v>
      </c>
      <c r="B11" s="9" t="s">
        <v>12</v>
      </c>
      <c r="C11" s="9" t="s">
        <v>13</v>
      </c>
      <c r="D11" s="8" t="s">
        <v>14</v>
      </c>
      <c r="E11" s="8" t="s">
        <v>15</v>
      </c>
      <c r="F11" s="7" t="s">
        <v>16</v>
      </c>
      <c r="G11" s="8" t="s">
        <v>17</v>
      </c>
      <c r="H11" s="8"/>
      <c r="I11" s="8"/>
      <c r="J11" s="6" t="s">
        <v>18</v>
      </c>
      <c r="K11" s="6"/>
      <c r="L11" s="6"/>
      <c r="M11" s="6" t="s">
        <v>19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x14ac:dyDescent="0.2">
      <c r="A12" s="9"/>
      <c r="B12" s="9"/>
      <c r="C12" s="9"/>
      <c r="D12" s="9"/>
      <c r="E12" s="9"/>
      <c r="F12" s="9"/>
      <c r="G12" s="35" t="s">
        <v>20</v>
      </c>
      <c r="H12" s="35" t="s">
        <v>21</v>
      </c>
      <c r="I12" s="36" t="s">
        <v>22</v>
      </c>
      <c r="J12" s="36" t="s">
        <v>23</v>
      </c>
      <c r="K12" s="36" t="s">
        <v>21</v>
      </c>
      <c r="L12" s="36" t="s">
        <v>22</v>
      </c>
      <c r="M12" s="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x14ac:dyDescent="0.2">
      <c r="A13" s="37"/>
      <c r="B13" s="37" t="s">
        <v>24</v>
      </c>
      <c r="C13" s="38"/>
      <c r="D13" s="37"/>
      <c r="E13" s="39"/>
      <c r="F13" s="40"/>
      <c r="G13" s="37"/>
      <c r="H13" s="37"/>
      <c r="I13" s="41"/>
      <c r="J13" s="42"/>
      <c r="K13" s="42"/>
      <c r="L13" s="42"/>
      <c r="M13" s="42"/>
      <c r="N13" s="43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x14ac:dyDescent="0.2">
      <c r="A14" s="45" t="s">
        <v>25</v>
      </c>
      <c r="B14" s="45" t="s">
        <v>26</v>
      </c>
      <c r="C14" s="46"/>
      <c r="D14" s="45"/>
      <c r="E14" s="47"/>
      <c r="F14" s="48"/>
      <c r="G14" s="49"/>
      <c r="H14" s="49"/>
      <c r="I14" s="50"/>
      <c r="J14" s="51">
        <f>SUM(J15:J18)</f>
        <v>4660.3799999999992</v>
      </c>
      <c r="K14" s="51">
        <f>SUM(K15:K18)</f>
        <v>1616.04</v>
      </c>
      <c r="L14" s="51">
        <f>SUM(L15:L18)</f>
        <v>6276.42</v>
      </c>
      <c r="M14" s="51">
        <f>SUM(M15:M18)</f>
        <v>8014.99</v>
      </c>
      <c r="N14" s="43">
        <f>M14</f>
        <v>8014.99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ht="25.5" x14ac:dyDescent="0.2">
      <c r="A15" s="52" t="s">
        <v>27</v>
      </c>
      <c r="B15" s="53" t="s">
        <v>28</v>
      </c>
      <c r="C15" s="54">
        <v>4813</v>
      </c>
      <c r="D15" s="55" t="s">
        <v>29</v>
      </c>
      <c r="E15" s="56" t="s">
        <v>30</v>
      </c>
      <c r="F15" s="56">
        <v>2</v>
      </c>
      <c r="G15" s="57">
        <v>430</v>
      </c>
      <c r="H15" s="57">
        <v>0</v>
      </c>
      <c r="I15" s="58">
        <f>G15+H15</f>
        <v>430</v>
      </c>
      <c r="J15" s="58">
        <f>G15*F15</f>
        <v>860</v>
      </c>
      <c r="K15" s="58">
        <f>H15*F15</f>
        <v>0</v>
      </c>
      <c r="L15" s="58">
        <f>J15+K15</f>
        <v>860</v>
      </c>
      <c r="M15" s="58">
        <f>ROUND(L15*(1+$M$4),2)</f>
        <v>1098.22</v>
      </c>
      <c r="N15" s="59"/>
      <c r="O15" s="59"/>
      <c r="P15" s="60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</row>
    <row r="16" spans="1:33" ht="38.25" x14ac:dyDescent="0.2">
      <c r="A16" s="61" t="s">
        <v>31</v>
      </c>
      <c r="B16" s="53" t="s">
        <v>32</v>
      </c>
      <c r="C16" s="54" t="s">
        <v>33</v>
      </c>
      <c r="D16" s="55" t="s">
        <v>34</v>
      </c>
      <c r="E16" s="56" t="s">
        <v>35</v>
      </c>
      <c r="F16" s="56">
        <v>60</v>
      </c>
      <c r="G16" s="57">
        <v>37.44</v>
      </c>
      <c r="H16" s="57">
        <v>21.65</v>
      </c>
      <c r="I16" s="58">
        <f>G16+H16</f>
        <v>59.089999999999996</v>
      </c>
      <c r="J16" s="58">
        <f>G16*F16</f>
        <v>2246.3999999999996</v>
      </c>
      <c r="K16" s="58">
        <f>H16*F16</f>
        <v>1299</v>
      </c>
      <c r="L16" s="58">
        <f>J16+K16</f>
        <v>3545.3999999999996</v>
      </c>
      <c r="M16" s="58">
        <f>ROUND(L16*(1+$M$4),2)</f>
        <v>4527.4799999999996</v>
      </c>
      <c r="N16" s="59"/>
      <c r="O16" s="59"/>
      <c r="P16" s="60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</row>
    <row r="17" spans="1:33" ht="25.5" x14ac:dyDescent="0.2">
      <c r="A17" s="52" t="s">
        <v>36</v>
      </c>
      <c r="B17" s="53" t="s">
        <v>37</v>
      </c>
      <c r="C17" s="54">
        <v>98525</v>
      </c>
      <c r="D17" s="55" t="s">
        <v>38</v>
      </c>
      <c r="E17" s="56" t="s">
        <v>30</v>
      </c>
      <c r="F17" s="56">
        <v>1000</v>
      </c>
      <c r="G17" s="57">
        <v>0.22</v>
      </c>
      <c r="H17" s="57">
        <v>0.15</v>
      </c>
      <c r="I17" s="58">
        <f>G17+H17</f>
        <v>0.37</v>
      </c>
      <c r="J17" s="58">
        <f>G17*F17</f>
        <v>220</v>
      </c>
      <c r="K17" s="58">
        <f>H17*F17</f>
        <v>150</v>
      </c>
      <c r="L17" s="58">
        <f>J17+K17</f>
        <v>370</v>
      </c>
      <c r="M17" s="58">
        <f>ROUND(L17*(1+$M$4),2)</f>
        <v>472.49</v>
      </c>
      <c r="N17" s="59"/>
      <c r="O17" s="59"/>
      <c r="P17" s="60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</row>
    <row r="18" spans="1:33" ht="25.5" x14ac:dyDescent="0.2">
      <c r="A18" s="52" t="s">
        <v>39</v>
      </c>
      <c r="B18" s="53" t="s">
        <v>40</v>
      </c>
      <c r="C18" s="54">
        <v>98441</v>
      </c>
      <c r="D18" s="55" t="s">
        <v>41</v>
      </c>
      <c r="E18" s="56" t="s">
        <v>30</v>
      </c>
      <c r="F18" s="56">
        <v>9</v>
      </c>
      <c r="G18" s="57">
        <v>148.22</v>
      </c>
      <c r="H18" s="57">
        <v>18.559999999999999</v>
      </c>
      <c r="I18" s="58">
        <f>G18+H18</f>
        <v>166.78</v>
      </c>
      <c r="J18" s="58">
        <f>G18*F18</f>
        <v>1333.98</v>
      </c>
      <c r="K18" s="58">
        <f>H18*F18</f>
        <v>167.04</v>
      </c>
      <c r="L18" s="58">
        <f>J18+K18</f>
        <v>1501.02</v>
      </c>
      <c r="M18" s="58">
        <f>ROUND(L18*(1+$M$4),2)</f>
        <v>1916.8</v>
      </c>
      <c r="N18" s="59"/>
      <c r="O18" s="59"/>
      <c r="P18" s="60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</row>
    <row r="19" spans="1:33" x14ac:dyDescent="0.2">
      <c r="A19" s="45" t="s">
        <v>42</v>
      </c>
      <c r="B19" s="62" t="s">
        <v>43</v>
      </c>
      <c r="C19" s="46"/>
      <c r="D19" s="45"/>
      <c r="E19" s="47"/>
      <c r="F19" s="48"/>
      <c r="G19" s="63"/>
      <c r="H19" s="49"/>
      <c r="I19" s="50"/>
      <c r="J19" s="51">
        <f>SUM(J20:J21)</f>
        <v>1502.5900000000001</v>
      </c>
      <c r="K19" s="51">
        <f>SUM(K20:K21)</f>
        <v>202.72</v>
      </c>
      <c r="L19" s="51">
        <f>SUM(L20:L21)</f>
        <v>1705.31</v>
      </c>
      <c r="M19" s="51">
        <f>SUM(M20:M21)</f>
        <v>2177.6799999999998</v>
      </c>
      <c r="N19" s="43">
        <f>M19</f>
        <v>2177.6799999999998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ht="25.5" x14ac:dyDescent="0.2">
      <c r="A20" s="64">
        <v>44198</v>
      </c>
      <c r="B20" s="53" t="s">
        <v>43</v>
      </c>
      <c r="C20" s="54">
        <v>94308</v>
      </c>
      <c r="D20" s="55" t="s">
        <v>44</v>
      </c>
      <c r="E20" s="56" t="s">
        <v>45</v>
      </c>
      <c r="F20" s="56">
        <v>27</v>
      </c>
      <c r="G20" s="57">
        <v>52.85</v>
      </c>
      <c r="H20" s="57">
        <v>1.8</v>
      </c>
      <c r="I20" s="58">
        <f>G20+H20</f>
        <v>54.65</v>
      </c>
      <c r="J20" s="58">
        <f>G20*F20</f>
        <v>1426.95</v>
      </c>
      <c r="K20" s="58">
        <f>H20*F20</f>
        <v>48.6</v>
      </c>
      <c r="L20" s="58">
        <f>J20+K20</f>
        <v>1475.55</v>
      </c>
      <c r="M20" s="58">
        <f>ROUND(L20*(1+$M$4),2)</f>
        <v>1884.28</v>
      </c>
      <c r="N20" s="59"/>
      <c r="O20" s="59"/>
      <c r="P20" s="60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</row>
    <row r="21" spans="1:33" ht="25.5" x14ac:dyDescent="0.2">
      <c r="A21" s="64">
        <v>44229</v>
      </c>
      <c r="B21" s="53" t="s">
        <v>43</v>
      </c>
      <c r="C21" s="54">
        <v>97082</v>
      </c>
      <c r="D21" s="55" t="s">
        <v>46</v>
      </c>
      <c r="E21" s="56" t="s">
        <v>45</v>
      </c>
      <c r="F21" s="56">
        <v>4</v>
      </c>
      <c r="G21" s="57">
        <v>18.91</v>
      </c>
      <c r="H21" s="57">
        <v>38.53</v>
      </c>
      <c r="I21" s="58">
        <f>G21+H21</f>
        <v>57.44</v>
      </c>
      <c r="J21" s="58">
        <f>G21*F21</f>
        <v>75.64</v>
      </c>
      <c r="K21" s="58">
        <f>H21*F21</f>
        <v>154.12</v>
      </c>
      <c r="L21" s="58">
        <f>J21+K21</f>
        <v>229.76</v>
      </c>
      <c r="M21" s="58">
        <f>ROUND(L21*(1+$M$4),2)</f>
        <v>293.39999999999998</v>
      </c>
      <c r="N21" s="59"/>
      <c r="O21" s="59"/>
      <c r="P21" s="60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</row>
    <row r="22" spans="1:33" x14ac:dyDescent="0.2">
      <c r="A22" s="45" t="s">
        <v>47</v>
      </c>
      <c r="B22" s="45" t="s">
        <v>48</v>
      </c>
      <c r="C22" s="46"/>
      <c r="D22" s="45"/>
      <c r="E22" s="47"/>
      <c r="F22" s="48"/>
      <c r="G22" s="49"/>
      <c r="H22" s="49"/>
      <c r="I22" s="50"/>
      <c r="J22" s="51">
        <f>SUM(J23:J32)</f>
        <v>10389.875800000002</v>
      </c>
      <c r="K22" s="51">
        <f>SUM(K23:K32)</f>
        <v>3923.3009999999999</v>
      </c>
      <c r="L22" s="51">
        <f>SUM(L23:L32)</f>
        <v>14313.176799999997</v>
      </c>
      <c r="M22" s="51">
        <f>SUM(M23:M32)</f>
        <v>18277.93</v>
      </c>
      <c r="N22" s="43">
        <f>M22</f>
        <v>18277.93</v>
      </c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ht="38.25" x14ac:dyDescent="0.2">
      <c r="A23" s="61" t="s">
        <v>49</v>
      </c>
      <c r="B23" s="53" t="s">
        <v>50</v>
      </c>
      <c r="C23" s="54">
        <v>101173</v>
      </c>
      <c r="D23" s="55" t="s">
        <v>51</v>
      </c>
      <c r="E23" s="56" t="s">
        <v>35</v>
      </c>
      <c r="F23" s="56">
        <f>3*24</f>
        <v>72</v>
      </c>
      <c r="G23" s="57">
        <v>36.72</v>
      </c>
      <c r="H23" s="57">
        <v>20.12</v>
      </c>
      <c r="I23" s="58">
        <f t="shared" ref="I23:I32" si="0">G23+H23</f>
        <v>56.84</v>
      </c>
      <c r="J23" s="58">
        <f t="shared" ref="J23:J32" si="1">G23*F23</f>
        <v>2643.84</v>
      </c>
      <c r="K23" s="58">
        <f t="shared" ref="K23:K32" si="2">H23*F23</f>
        <v>1448.64</v>
      </c>
      <c r="L23" s="58">
        <f t="shared" ref="L23:L32" si="3">J23+K23</f>
        <v>4092.4800000000005</v>
      </c>
      <c r="M23" s="58">
        <f t="shared" ref="M23:M32" si="4">ROUND(L23*(1+$M$4),2)</f>
        <v>5226.1000000000004</v>
      </c>
      <c r="N23" s="59"/>
      <c r="O23" s="59"/>
      <c r="P23" s="60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</row>
    <row r="24" spans="1:33" ht="25.5" x14ac:dyDescent="0.2">
      <c r="A24" s="61" t="s">
        <v>52</v>
      </c>
      <c r="B24" s="53" t="s">
        <v>53</v>
      </c>
      <c r="C24" s="54">
        <v>96523</v>
      </c>
      <c r="D24" s="55" t="s">
        <v>54</v>
      </c>
      <c r="E24" s="56" t="s">
        <v>45</v>
      </c>
      <c r="F24" s="56">
        <v>2.5</v>
      </c>
      <c r="G24" s="57">
        <v>27.76</v>
      </c>
      <c r="H24" s="57">
        <v>62.83</v>
      </c>
      <c r="I24" s="58">
        <f t="shared" si="0"/>
        <v>90.59</v>
      </c>
      <c r="J24" s="58">
        <f t="shared" si="1"/>
        <v>69.400000000000006</v>
      </c>
      <c r="K24" s="58">
        <f t="shared" si="2"/>
        <v>157.07499999999999</v>
      </c>
      <c r="L24" s="58">
        <f t="shared" si="3"/>
        <v>226.47499999999999</v>
      </c>
      <c r="M24" s="58">
        <f t="shared" si="4"/>
        <v>289.20999999999998</v>
      </c>
      <c r="N24" s="59"/>
      <c r="O24" s="59"/>
      <c r="P24" s="60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</row>
    <row r="25" spans="1:33" x14ac:dyDescent="0.2">
      <c r="A25" s="61" t="s">
        <v>55</v>
      </c>
      <c r="B25" s="53" t="s">
        <v>56</v>
      </c>
      <c r="C25" s="54">
        <v>96622</v>
      </c>
      <c r="D25" s="55" t="s">
        <v>57</v>
      </c>
      <c r="E25" s="56" t="s">
        <v>30</v>
      </c>
      <c r="F25" s="56">
        <v>0.16</v>
      </c>
      <c r="G25" s="57">
        <v>76.58</v>
      </c>
      <c r="H25" s="57">
        <v>28.05</v>
      </c>
      <c r="I25" s="58">
        <f t="shared" si="0"/>
        <v>104.63</v>
      </c>
      <c r="J25" s="58">
        <f t="shared" si="1"/>
        <v>12.252800000000001</v>
      </c>
      <c r="K25" s="58">
        <f t="shared" si="2"/>
        <v>4.4880000000000004</v>
      </c>
      <c r="L25" s="58">
        <f t="shared" si="3"/>
        <v>16.7408</v>
      </c>
      <c r="M25" s="58">
        <f t="shared" si="4"/>
        <v>21.38</v>
      </c>
      <c r="N25" s="59"/>
      <c r="O25" s="59"/>
      <c r="P25" s="60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</row>
    <row r="26" spans="1:33" x14ac:dyDescent="0.2">
      <c r="A26" s="61" t="s">
        <v>58</v>
      </c>
      <c r="B26" s="53" t="s">
        <v>59</v>
      </c>
      <c r="C26" s="54">
        <v>92761</v>
      </c>
      <c r="D26" s="55" t="s">
        <v>60</v>
      </c>
      <c r="E26" s="56" t="s">
        <v>61</v>
      </c>
      <c r="F26" s="56">
        <v>72</v>
      </c>
      <c r="G26" s="57">
        <v>12.55</v>
      </c>
      <c r="H26" s="57">
        <v>1.47</v>
      </c>
      <c r="I26" s="58">
        <f t="shared" si="0"/>
        <v>14.020000000000001</v>
      </c>
      <c r="J26" s="58">
        <f t="shared" si="1"/>
        <v>903.6</v>
      </c>
      <c r="K26" s="58">
        <f t="shared" si="2"/>
        <v>105.84</v>
      </c>
      <c r="L26" s="58">
        <f t="shared" si="3"/>
        <v>1009.44</v>
      </c>
      <c r="M26" s="58">
        <f t="shared" si="4"/>
        <v>1289.05</v>
      </c>
      <c r="N26" s="59"/>
      <c r="O26" s="59"/>
      <c r="P26" s="60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</row>
    <row r="27" spans="1:33" ht="38.25" x14ac:dyDescent="0.2">
      <c r="A27" s="61" t="s">
        <v>62</v>
      </c>
      <c r="B27" s="53" t="s">
        <v>59</v>
      </c>
      <c r="C27" s="54" t="s">
        <v>63</v>
      </c>
      <c r="D27" s="55" t="s">
        <v>64</v>
      </c>
      <c r="E27" s="56" t="s">
        <v>45</v>
      </c>
      <c r="F27" s="56">
        <v>1.3</v>
      </c>
      <c r="G27" s="57">
        <v>344.03</v>
      </c>
      <c r="H27" s="57">
        <v>44.3</v>
      </c>
      <c r="I27" s="58">
        <f t="shared" si="0"/>
        <v>388.33</v>
      </c>
      <c r="J27" s="58">
        <f t="shared" si="1"/>
        <v>447.23899999999998</v>
      </c>
      <c r="K27" s="58">
        <f t="shared" si="2"/>
        <v>57.589999999999996</v>
      </c>
      <c r="L27" s="58">
        <f t="shared" si="3"/>
        <v>504.82899999999995</v>
      </c>
      <c r="M27" s="58">
        <f t="shared" si="4"/>
        <v>644.66999999999996</v>
      </c>
      <c r="N27" s="59"/>
      <c r="O27" s="59"/>
      <c r="P27" s="60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</row>
    <row r="28" spans="1:33" ht="38.25" x14ac:dyDescent="0.2">
      <c r="A28" s="61" t="s">
        <v>65</v>
      </c>
      <c r="B28" s="53" t="s">
        <v>66</v>
      </c>
      <c r="C28" s="54">
        <v>96523</v>
      </c>
      <c r="D28" s="55" t="s">
        <v>67</v>
      </c>
      <c r="E28" s="56" t="s">
        <v>45</v>
      </c>
      <c r="F28" s="56">
        <v>3.6</v>
      </c>
      <c r="G28" s="57">
        <v>27.76</v>
      </c>
      <c r="H28" s="57">
        <v>62.83</v>
      </c>
      <c r="I28" s="58">
        <f t="shared" si="0"/>
        <v>90.59</v>
      </c>
      <c r="J28" s="58">
        <f t="shared" si="1"/>
        <v>99.936000000000007</v>
      </c>
      <c r="K28" s="58">
        <f t="shared" si="2"/>
        <v>226.18799999999999</v>
      </c>
      <c r="L28" s="58">
        <f t="shared" si="3"/>
        <v>326.12400000000002</v>
      </c>
      <c r="M28" s="58">
        <f t="shared" si="4"/>
        <v>416.46</v>
      </c>
      <c r="N28" s="59"/>
      <c r="O28" s="59"/>
      <c r="P28" s="60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</row>
    <row r="29" spans="1:33" ht="25.5" x14ac:dyDescent="0.2">
      <c r="A29" s="61" t="s">
        <v>68</v>
      </c>
      <c r="B29" s="53" t="s">
        <v>66</v>
      </c>
      <c r="C29" s="54">
        <v>92762</v>
      </c>
      <c r="D29" s="55" t="s">
        <v>69</v>
      </c>
      <c r="E29" s="56" t="s">
        <v>61</v>
      </c>
      <c r="F29" s="56">
        <v>220</v>
      </c>
      <c r="G29" s="57">
        <v>11.7</v>
      </c>
      <c r="H29" s="57">
        <v>0.97</v>
      </c>
      <c r="I29" s="58">
        <f t="shared" si="0"/>
        <v>12.67</v>
      </c>
      <c r="J29" s="58">
        <f t="shared" si="1"/>
        <v>2574</v>
      </c>
      <c r="K29" s="58">
        <f t="shared" si="2"/>
        <v>213.4</v>
      </c>
      <c r="L29" s="58">
        <f t="shared" si="3"/>
        <v>2787.4</v>
      </c>
      <c r="M29" s="58">
        <f t="shared" si="4"/>
        <v>3559.51</v>
      </c>
      <c r="N29" s="59"/>
      <c r="O29" s="59"/>
      <c r="P29" s="60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</row>
    <row r="30" spans="1:33" ht="38.25" x14ac:dyDescent="0.2">
      <c r="A30" s="61" t="s">
        <v>70</v>
      </c>
      <c r="B30" s="53" t="s">
        <v>66</v>
      </c>
      <c r="C30" s="54">
        <v>92443</v>
      </c>
      <c r="D30" s="55" t="s">
        <v>71</v>
      </c>
      <c r="E30" s="56" t="s">
        <v>72</v>
      </c>
      <c r="F30" s="56">
        <v>50</v>
      </c>
      <c r="G30" s="57">
        <v>28.45</v>
      </c>
      <c r="H30" s="57">
        <v>14.87</v>
      </c>
      <c r="I30" s="58">
        <f t="shared" si="0"/>
        <v>43.32</v>
      </c>
      <c r="J30" s="58">
        <f t="shared" si="1"/>
        <v>1422.5</v>
      </c>
      <c r="K30" s="58">
        <f t="shared" si="2"/>
        <v>743.5</v>
      </c>
      <c r="L30" s="58">
        <f t="shared" si="3"/>
        <v>2166</v>
      </c>
      <c r="M30" s="58">
        <f t="shared" si="4"/>
        <v>2765.98</v>
      </c>
      <c r="N30" s="59"/>
      <c r="O30" s="59"/>
      <c r="P30" s="60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</row>
    <row r="31" spans="1:33" ht="25.5" x14ac:dyDescent="0.2">
      <c r="A31" s="61" t="s">
        <v>73</v>
      </c>
      <c r="B31" s="53" t="s">
        <v>66</v>
      </c>
      <c r="C31" s="54" t="s">
        <v>63</v>
      </c>
      <c r="D31" s="55" t="s">
        <v>74</v>
      </c>
      <c r="E31" s="56" t="s">
        <v>45</v>
      </c>
      <c r="F31" s="56">
        <v>3.6</v>
      </c>
      <c r="G31" s="57">
        <v>344.03</v>
      </c>
      <c r="H31" s="57">
        <v>44.3</v>
      </c>
      <c r="I31" s="58">
        <f t="shared" si="0"/>
        <v>388.33</v>
      </c>
      <c r="J31" s="58">
        <f t="shared" si="1"/>
        <v>1238.508</v>
      </c>
      <c r="K31" s="58">
        <f t="shared" si="2"/>
        <v>159.47999999999999</v>
      </c>
      <c r="L31" s="58">
        <f t="shared" si="3"/>
        <v>1397.9880000000001</v>
      </c>
      <c r="M31" s="58">
        <f t="shared" si="4"/>
        <v>1785.23</v>
      </c>
      <c r="N31" s="59"/>
      <c r="O31" s="59"/>
      <c r="P31" s="60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</row>
    <row r="32" spans="1:33" ht="38.25" x14ac:dyDescent="0.2">
      <c r="A32" s="61" t="s">
        <v>75</v>
      </c>
      <c r="B32" s="53" t="s">
        <v>66</v>
      </c>
      <c r="C32" s="54">
        <v>98555</v>
      </c>
      <c r="D32" s="55" t="s">
        <v>76</v>
      </c>
      <c r="E32" s="56" t="s">
        <v>30</v>
      </c>
      <c r="F32" s="56">
        <v>70</v>
      </c>
      <c r="G32" s="57">
        <v>13.98</v>
      </c>
      <c r="H32" s="57">
        <v>11.53</v>
      </c>
      <c r="I32" s="58">
        <f t="shared" si="0"/>
        <v>25.509999999999998</v>
      </c>
      <c r="J32" s="58">
        <f t="shared" si="1"/>
        <v>978.6</v>
      </c>
      <c r="K32" s="58">
        <f t="shared" si="2"/>
        <v>807.09999999999991</v>
      </c>
      <c r="L32" s="58">
        <f t="shared" si="3"/>
        <v>1785.6999999999998</v>
      </c>
      <c r="M32" s="58">
        <f t="shared" si="4"/>
        <v>2280.34</v>
      </c>
      <c r="N32" s="59"/>
      <c r="O32" s="59"/>
      <c r="P32" s="60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</row>
    <row r="33" spans="1:33" x14ac:dyDescent="0.2">
      <c r="A33" s="45" t="s">
        <v>77</v>
      </c>
      <c r="B33" s="45" t="s">
        <v>78</v>
      </c>
      <c r="C33" s="46"/>
      <c r="D33" s="45"/>
      <c r="E33" s="47"/>
      <c r="F33" s="48"/>
      <c r="G33" s="47"/>
      <c r="H33" s="48"/>
      <c r="I33" s="50"/>
      <c r="J33" s="51">
        <f>SUM(J34:J39)</f>
        <v>10125.862999999999</v>
      </c>
      <c r="K33" s="51">
        <f>SUM(K34:K39)</f>
        <v>2014.98</v>
      </c>
      <c r="L33" s="51">
        <f>SUM(L34:L39)</f>
        <v>12140.842999999999</v>
      </c>
      <c r="M33" s="51">
        <f>SUM(M34:M39)</f>
        <v>15503.859999999999</v>
      </c>
      <c r="N33" s="43">
        <f>M33</f>
        <v>15503.859999999999</v>
      </c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ht="38.25" x14ac:dyDescent="0.2">
      <c r="A34" s="64">
        <v>44200</v>
      </c>
      <c r="B34" s="53" t="s">
        <v>79</v>
      </c>
      <c r="C34" s="54">
        <v>92443</v>
      </c>
      <c r="D34" s="55" t="s">
        <v>71</v>
      </c>
      <c r="E34" s="56" t="s">
        <v>72</v>
      </c>
      <c r="F34" s="56">
        <v>45</v>
      </c>
      <c r="G34" s="57">
        <v>28.45</v>
      </c>
      <c r="H34" s="57">
        <v>14.87</v>
      </c>
      <c r="I34" s="58">
        <f t="shared" ref="I34:I39" si="5">G34+H34</f>
        <v>43.32</v>
      </c>
      <c r="J34" s="58">
        <f t="shared" ref="J34:J39" si="6">G34*F34</f>
        <v>1280.25</v>
      </c>
      <c r="K34" s="58">
        <f t="shared" ref="K34:K39" si="7">H34*F34</f>
        <v>669.15</v>
      </c>
      <c r="L34" s="58">
        <f t="shared" ref="L34:L39" si="8">J34+K34</f>
        <v>1949.4</v>
      </c>
      <c r="M34" s="58">
        <f t="shared" ref="M34:M39" si="9">ROUND(L34*(1+$M$4),2)</f>
        <v>2489.38</v>
      </c>
      <c r="N34" s="59"/>
      <c r="O34" s="59"/>
      <c r="P34" s="60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</row>
    <row r="35" spans="1:33" ht="25.5" x14ac:dyDescent="0.2">
      <c r="A35" s="64">
        <v>44231</v>
      </c>
      <c r="B35" s="53" t="s">
        <v>80</v>
      </c>
      <c r="C35" s="54">
        <v>92762</v>
      </c>
      <c r="D35" s="55" t="s">
        <v>81</v>
      </c>
      <c r="E35" s="56" t="s">
        <v>61</v>
      </c>
      <c r="F35" s="56">
        <v>200</v>
      </c>
      <c r="G35" s="57">
        <v>11.7</v>
      </c>
      <c r="H35" s="57">
        <v>0.97</v>
      </c>
      <c r="I35" s="58">
        <f t="shared" si="5"/>
        <v>12.67</v>
      </c>
      <c r="J35" s="58">
        <f t="shared" si="6"/>
        <v>2340</v>
      </c>
      <c r="K35" s="58">
        <f t="shared" si="7"/>
        <v>194</v>
      </c>
      <c r="L35" s="58">
        <f t="shared" si="8"/>
        <v>2534</v>
      </c>
      <c r="M35" s="58">
        <f t="shared" si="9"/>
        <v>3235.92</v>
      </c>
      <c r="N35" s="59"/>
      <c r="O35" s="59"/>
      <c r="P35" s="60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</row>
    <row r="36" spans="1:33" ht="25.5" x14ac:dyDescent="0.2">
      <c r="A36" s="64">
        <v>44259</v>
      </c>
      <c r="B36" s="53" t="s">
        <v>82</v>
      </c>
      <c r="C36" s="54" t="s">
        <v>63</v>
      </c>
      <c r="D36" s="55" t="s">
        <v>83</v>
      </c>
      <c r="E36" s="56" t="s">
        <v>45</v>
      </c>
      <c r="F36" s="56">
        <v>3.5</v>
      </c>
      <c r="G36" s="57">
        <v>344.03</v>
      </c>
      <c r="H36" s="57">
        <v>44.3</v>
      </c>
      <c r="I36" s="58">
        <f t="shared" si="5"/>
        <v>388.33</v>
      </c>
      <c r="J36" s="58">
        <f t="shared" si="6"/>
        <v>1204.105</v>
      </c>
      <c r="K36" s="58">
        <f t="shared" si="7"/>
        <v>155.04999999999998</v>
      </c>
      <c r="L36" s="58">
        <f t="shared" si="8"/>
        <v>1359.155</v>
      </c>
      <c r="M36" s="58">
        <f t="shared" si="9"/>
        <v>1735.64</v>
      </c>
      <c r="N36" s="59"/>
      <c r="O36" s="59"/>
      <c r="P36" s="60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</row>
    <row r="37" spans="1:33" ht="38.25" x14ac:dyDescent="0.2">
      <c r="A37" s="64">
        <v>44290</v>
      </c>
      <c r="B37" s="53" t="s">
        <v>84</v>
      </c>
      <c r="C37" s="54">
        <v>92443</v>
      </c>
      <c r="D37" s="55" t="s">
        <v>71</v>
      </c>
      <c r="E37" s="56" t="s">
        <v>72</v>
      </c>
      <c r="F37" s="56">
        <v>40</v>
      </c>
      <c r="G37" s="57">
        <v>28.45</v>
      </c>
      <c r="H37" s="57">
        <v>14.87</v>
      </c>
      <c r="I37" s="58">
        <f t="shared" si="5"/>
        <v>43.32</v>
      </c>
      <c r="J37" s="58">
        <f t="shared" si="6"/>
        <v>1138</v>
      </c>
      <c r="K37" s="58">
        <f t="shared" si="7"/>
        <v>594.79999999999995</v>
      </c>
      <c r="L37" s="58">
        <f t="shared" si="8"/>
        <v>1732.8</v>
      </c>
      <c r="M37" s="58">
        <f t="shared" si="9"/>
        <v>2212.79</v>
      </c>
      <c r="N37" s="59"/>
      <c r="O37" s="59"/>
      <c r="P37" s="60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</row>
    <row r="38" spans="1:33" ht="38.25" x14ac:dyDescent="0.2">
      <c r="A38" s="64">
        <v>44320</v>
      </c>
      <c r="B38" s="53" t="s">
        <v>84</v>
      </c>
      <c r="C38" s="54">
        <v>92762</v>
      </c>
      <c r="D38" s="55" t="s">
        <v>85</v>
      </c>
      <c r="E38" s="56" t="s">
        <v>61</v>
      </c>
      <c r="F38" s="56">
        <v>250</v>
      </c>
      <c r="G38" s="57">
        <v>11.7</v>
      </c>
      <c r="H38" s="57">
        <v>0.97</v>
      </c>
      <c r="I38" s="58">
        <f t="shared" si="5"/>
        <v>12.67</v>
      </c>
      <c r="J38" s="58">
        <f t="shared" si="6"/>
        <v>2925</v>
      </c>
      <c r="K38" s="58">
        <f t="shared" si="7"/>
        <v>242.5</v>
      </c>
      <c r="L38" s="58">
        <f t="shared" si="8"/>
        <v>3167.5</v>
      </c>
      <c r="M38" s="58">
        <f t="shared" si="9"/>
        <v>4044.9</v>
      </c>
      <c r="N38" s="59"/>
      <c r="O38" s="59"/>
      <c r="P38" s="60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</row>
    <row r="39" spans="1:33" ht="25.5" x14ac:dyDescent="0.2">
      <c r="A39" s="64">
        <v>44351</v>
      </c>
      <c r="B39" s="53" t="s">
        <v>84</v>
      </c>
      <c r="C39" s="54" t="s">
        <v>63</v>
      </c>
      <c r="D39" s="55" t="s">
        <v>86</v>
      </c>
      <c r="E39" s="56" t="s">
        <v>45</v>
      </c>
      <c r="F39" s="56">
        <v>3.6</v>
      </c>
      <c r="G39" s="57">
        <v>344.03</v>
      </c>
      <c r="H39" s="57">
        <v>44.3</v>
      </c>
      <c r="I39" s="58">
        <f t="shared" si="5"/>
        <v>388.33</v>
      </c>
      <c r="J39" s="58">
        <f t="shared" si="6"/>
        <v>1238.508</v>
      </c>
      <c r="K39" s="58">
        <f t="shared" si="7"/>
        <v>159.47999999999999</v>
      </c>
      <c r="L39" s="58">
        <f t="shared" si="8"/>
        <v>1397.9880000000001</v>
      </c>
      <c r="M39" s="58">
        <f t="shared" si="9"/>
        <v>1785.23</v>
      </c>
      <c r="N39" s="59"/>
      <c r="O39" s="59"/>
      <c r="P39" s="60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</row>
    <row r="40" spans="1:33" x14ac:dyDescent="0.2">
      <c r="A40" s="65"/>
      <c r="B40" s="66"/>
      <c r="C40" s="67"/>
      <c r="D40" s="17"/>
      <c r="E40" s="65"/>
      <c r="F40" s="68"/>
      <c r="G40" s="57"/>
      <c r="H40" s="57"/>
      <c r="I40" s="69"/>
      <c r="J40" s="69"/>
      <c r="K40" s="69"/>
      <c r="L40" s="69"/>
      <c r="M40" s="69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</row>
    <row r="41" spans="1:33" x14ac:dyDescent="0.2">
      <c r="A41" s="45" t="s">
        <v>87</v>
      </c>
      <c r="B41" s="45" t="s">
        <v>88</v>
      </c>
      <c r="C41" s="46"/>
      <c r="D41" s="45"/>
      <c r="E41" s="47"/>
      <c r="F41" s="48"/>
      <c r="G41" s="47"/>
      <c r="H41" s="48"/>
      <c r="I41" s="50"/>
      <c r="J41" s="51">
        <f>SUM(J42:J45)</f>
        <v>12965.837799999999</v>
      </c>
      <c r="K41" s="51">
        <f>SUM(K42:K45)</f>
        <v>11123.038</v>
      </c>
      <c r="L41" s="51">
        <f>SUM(L42:L45)</f>
        <v>24088.875800000002</v>
      </c>
      <c r="M41" s="51">
        <f>SUM(M42:M45)</f>
        <v>30761.49</v>
      </c>
      <c r="N41" s="43">
        <f>M41</f>
        <v>30761.49</v>
      </c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ht="51" x14ac:dyDescent="0.2">
      <c r="A42" s="64">
        <v>44201</v>
      </c>
      <c r="B42" s="53" t="s">
        <v>89</v>
      </c>
      <c r="C42" s="54" t="s">
        <v>90</v>
      </c>
      <c r="D42" s="55" t="s">
        <v>91</v>
      </c>
      <c r="E42" s="56" t="s">
        <v>30</v>
      </c>
      <c r="F42" s="56">
        <v>105</v>
      </c>
      <c r="G42" s="57">
        <v>75.239999999999995</v>
      </c>
      <c r="H42" s="57">
        <v>60.08</v>
      </c>
      <c r="I42" s="58">
        <f>G42+H42</f>
        <v>135.32</v>
      </c>
      <c r="J42" s="58">
        <f>G42*F42</f>
        <v>7900.2</v>
      </c>
      <c r="K42" s="58">
        <f>H42*F42</f>
        <v>6308.4</v>
      </c>
      <c r="L42" s="58">
        <f>J42+K42</f>
        <v>14208.599999999999</v>
      </c>
      <c r="M42" s="58">
        <f>ROUND(L42*(1+$M$4),2)</f>
        <v>18144.38</v>
      </c>
      <c r="N42" s="59"/>
      <c r="O42" s="59"/>
      <c r="P42" s="60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</row>
    <row r="43" spans="1:33" ht="38.25" x14ac:dyDescent="0.2">
      <c r="A43" s="64">
        <v>44232</v>
      </c>
      <c r="B43" s="53" t="s">
        <v>92</v>
      </c>
      <c r="C43" s="54" t="s">
        <v>93</v>
      </c>
      <c r="D43" s="55" t="s">
        <v>94</v>
      </c>
      <c r="E43" s="56" t="s">
        <v>30</v>
      </c>
      <c r="F43" s="56">
        <v>81</v>
      </c>
      <c r="G43" s="57">
        <v>54.74</v>
      </c>
      <c r="H43" s="57">
        <v>56.57</v>
      </c>
      <c r="I43" s="58">
        <f>G43+H43</f>
        <v>111.31</v>
      </c>
      <c r="J43" s="58">
        <f>G43*F43</f>
        <v>4433.9400000000005</v>
      </c>
      <c r="K43" s="58">
        <f>H43*F43</f>
        <v>4582.17</v>
      </c>
      <c r="L43" s="58">
        <f>J43+K43</f>
        <v>9016.11</v>
      </c>
      <c r="M43" s="58">
        <f>ROUND(L43*(1+$M$4),2)</f>
        <v>11513.57</v>
      </c>
      <c r="N43" s="59"/>
      <c r="O43" s="59"/>
      <c r="P43" s="60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</row>
    <row r="44" spans="1:33" ht="25.5" x14ac:dyDescent="0.2">
      <c r="A44" s="64">
        <v>44260</v>
      </c>
      <c r="B44" s="53" t="s">
        <v>95</v>
      </c>
      <c r="C44" s="54">
        <v>89999</v>
      </c>
      <c r="D44" s="55" t="s">
        <v>96</v>
      </c>
      <c r="E44" s="56" t="s">
        <v>61</v>
      </c>
      <c r="F44" s="56">
        <v>45</v>
      </c>
      <c r="G44" s="57">
        <v>12.05</v>
      </c>
      <c r="H44" s="57">
        <v>4.91</v>
      </c>
      <c r="I44" s="58">
        <f>G44+H44</f>
        <v>16.96</v>
      </c>
      <c r="J44" s="58">
        <f>G44*F44</f>
        <v>542.25</v>
      </c>
      <c r="K44" s="58">
        <f>H44*F44</f>
        <v>220.95000000000002</v>
      </c>
      <c r="L44" s="58">
        <f>J44+K44</f>
        <v>763.2</v>
      </c>
      <c r="M44" s="58">
        <f>ROUND(L44*(1+$M$4),2)</f>
        <v>974.61</v>
      </c>
      <c r="N44" s="59"/>
      <c r="O44" s="59"/>
      <c r="P44" s="60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</row>
    <row r="45" spans="1:33" ht="25.5" x14ac:dyDescent="0.2">
      <c r="A45" s="64">
        <v>44291</v>
      </c>
      <c r="B45" s="53" t="s">
        <v>95</v>
      </c>
      <c r="C45" s="54" t="s">
        <v>63</v>
      </c>
      <c r="D45" s="55" t="s">
        <v>86</v>
      </c>
      <c r="E45" s="56" t="s">
        <v>45</v>
      </c>
      <c r="F45" s="56">
        <v>0.26</v>
      </c>
      <c r="G45" s="57">
        <v>344.03</v>
      </c>
      <c r="H45" s="57">
        <v>44.3</v>
      </c>
      <c r="I45" s="58">
        <f>G45+H45</f>
        <v>388.33</v>
      </c>
      <c r="J45" s="58">
        <f>G45*F45</f>
        <v>89.447800000000001</v>
      </c>
      <c r="K45" s="58">
        <f>H45*F45</f>
        <v>11.517999999999999</v>
      </c>
      <c r="L45" s="58">
        <f>J45+K45</f>
        <v>100.9658</v>
      </c>
      <c r="M45" s="58">
        <f>ROUND(L45*(1+$M$4),2)</f>
        <v>128.93</v>
      </c>
      <c r="N45" s="59"/>
      <c r="O45" s="59"/>
      <c r="P45" s="60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</row>
    <row r="46" spans="1:33" x14ac:dyDescent="0.2">
      <c r="A46" s="45" t="s">
        <v>97</v>
      </c>
      <c r="B46" s="45" t="s">
        <v>98</v>
      </c>
      <c r="C46" s="46"/>
      <c r="D46" s="45"/>
      <c r="E46" s="47"/>
      <c r="F46" s="48"/>
      <c r="G46" s="47"/>
      <c r="H46" s="48"/>
      <c r="I46" s="50"/>
      <c r="J46" s="51">
        <f>SUM(J47:J55)</f>
        <v>11840.36</v>
      </c>
      <c r="K46" s="51">
        <f>SUM(K47:K55)</f>
        <v>2124.3199999999997</v>
      </c>
      <c r="L46" s="51">
        <f>SUM(L47:L55)</f>
        <v>13964.679999999998</v>
      </c>
      <c r="M46" s="51">
        <f>SUM(M47:M55)</f>
        <v>17832.890000000003</v>
      </c>
      <c r="N46" s="43">
        <f>M46</f>
        <v>17832.890000000003</v>
      </c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ht="38.25" x14ac:dyDescent="0.2">
      <c r="A47" s="64">
        <v>44202</v>
      </c>
      <c r="B47" s="53" t="s">
        <v>99</v>
      </c>
      <c r="C47" s="54">
        <v>91326</v>
      </c>
      <c r="D47" s="55" t="s">
        <v>100</v>
      </c>
      <c r="E47" s="56" t="s">
        <v>101</v>
      </c>
      <c r="F47" s="56">
        <v>3</v>
      </c>
      <c r="G47" s="57">
        <v>601.09</v>
      </c>
      <c r="H47" s="57">
        <v>170.75</v>
      </c>
      <c r="I47" s="58">
        <f t="shared" ref="I47:I55" si="10">G47+H47</f>
        <v>771.84</v>
      </c>
      <c r="J47" s="58">
        <f t="shared" ref="J47:J55" si="11">G47*F47</f>
        <v>1803.27</v>
      </c>
      <c r="K47" s="58">
        <f t="shared" ref="K47:K55" si="12">H47*F47</f>
        <v>512.25</v>
      </c>
      <c r="L47" s="58">
        <f t="shared" ref="L47:L55" si="13">J47+K47</f>
        <v>2315.52</v>
      </c>
      <c r="M47" s="58">
        <f t="shared" ref="M47:M55" si="14">ROUND(L47*(1+$M$4),2)</f>
        <v>2956.92</v>
      </c>
      <c r="N47" s="59"/>
      <c r="O47" s="59"/>
      <c r="P47" s="60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</row>
    <row r="48" spans="1:33" ht="38.25" x14ac:dyDescent="0.2">
      <c r="A48" s="64">
        <v>44233</v>
      </c>
      <c r="B48" s="53" t="s">
        <v>102</v>
      </c>
      <c r="C48" s="54">
        <v>91327</v>
      </c>
      <c r="D48" s="55" t="s">
        <v>103</v>
      </c>
      <c r="E48" s="56" t="s">
        <v>101</v>
      </c>
      <c r="F48" s="56">
        <v>2</v>
      </c>
      <c r="G48" s="57">
        <v>639.72</v>
      </c>
      <c r="H48" s="57">
        <v>174.28</v>
      </c>
      <c r="I48" s="58">
        <f t="shared" si="10"/>
        <v>814</v>
      </c>
      <c r="J48" s="58">
        <f t="shared" si="11"/>
        <v>1279.44</v>
      </c>
      <c r="K48" s="58">
        <f t="shared" si="12"/>
        <v>348.56</v>
      </c>
      <c r="L48" s="58">
        <f t="shared" si="13"/>
        <v>1628</v>
      </c>
      <c r="M48" s="58">
        <f t="shared" si="14"/>
        <v>2078.96</v>
      </c>
      <c r="N48" s="59"/>
      <c r="O48" s="59"/>
      <c r="P48" s="60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</row>
    <row r="49" spans="1:33" ht="38.25" x14ac:dyDescent="0.2">
      <c r="A49" s="64">
        <v>44261</v>
      </c>
      <c r="B49" s="53" t="s">
        <v>104</v>
      </c>
      <c r="C49" s="54" t="s">
        <v>105</v>
      </c>
      <c r="D49" s="55" t="s">
        <v>106</v>
      </c>
      <c r="E49" s="56" t="s">
        <v>101</v>
      </c>
      <c r="F49" s="56">
        <v>2</v>
      </c>
      <c r="G49" s="57">
        <v>601.09</v>
      </c>
      <c r="H49" s="57">
        <v>170.75</v>
      </c>
      <c r="I49" s="58">
        <f t="shared" si="10"/>
        <v>771.84</v>
      </c>
      <c r="J49" s="58">
        <f t="shared" si="11"/>
        <v>1202.18</v>
      </c>
      <c r="K49" s="58">
        <f t="shared" si="12"/>
        <v>341.5</v>
      </c>
      <c r="L49" s="58">
        <f t="shared" si="13"/>
        <v>1543.68</v>
      </c>
      <c r="M49" s="58">
        <f t="shared" si="14"/>
        <v>1971.28</v>
      </c>
      <c r="N49" s="59"/>
      <c r="O49" s="59"/>
      <c r="P49" s="60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</row>
    <row r="50" spans="1:33" ht="38.25" x14ac:dyDescent="0.2">
      <c r="A50" s="64">
        <v>44292</v>
      </c>
      <c r="B50" s="53" t="s">
        <v>107</v>
      </c>
      <c r="C50" s="54" t="s">
        <v>108</v>
      </c>
      <c r="D50" s="55" t="s">
        <v>109</v>
      </c>
      <c r="E50" s="56" t="s">
        <v>101</v>
      </c>
      <c r="F50" s="56">
        <v>1</v>
      </c>
      <c r="G50" s="57">
        <v>601.09</v>
      </c>
      <c r="H50" s="57">
        <v>170.75</v>
      </c>
      <c r="I50" s="58">
        <f t="shared" si="10"/>
        <v>771.84</v>
      </c>
      <c r="J50" s="58">
        <f t="shared" si="11"/>
        <v>601.09</v>
      </c>
      <c r="K50" s="58">
        <f t="shared" si="12"/>
        <v>170.75</v>
      </c>
      <c r="L50" s="58">
        <f t="shared" si="13"/>
        <v>771.84</v>
      </c>
      <c r="M50" s="58">
        <f t="shared" si="14"/>
        <v>985.64</v>
      </c>
      <c r="N50" s="59"/>
      <c r="O50" s="59"/>
      <c r="P50" s="60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</row>
    <row r="51" spans="1:33" ht="38.25" x14ac:dyDescent="0.2">
      <c r="A51" s="64">
        <v>44322</v>
      </c>
      <c r="B51" s="53" t="s">
        <v>110</v>
      </c>
      <c r="C51" s="54" t="s">
        <v>111</v>
      </c>
      <c r="D51" s="55" t="s">
        <v>112</v>
      </c>
      <c r="E51" s="56" t="s">
        <v>101</v>
      </c>
      <c r="F51" s="56">
        <v>1</v>
      </c>
      <c r="G51" s="57">
        <v>545.42999999999995</v>
      </c>
      <c r="H51" s="57">
        <v>163.72</v>
      </c>
      <c r="I51" s="58">
        <f t="shared" si="10"/>
        <v>709.15</v>
      </c>
      <c r="J51" s="58">
        <f t="shared" si="11"/>
        <v>545.42999999999995</v>
      </c>
      <c r="K51" s="58">
        <f t="shared" si="12"/>
        <v>163.72</v>
      </c>
      <c r="L51" s="58">
        <f t="shared" si="13"/>
        <v>709.15</v>
      </c>
      <c r="M51" s="58">
        <f t="shared" si="14"/>
        <v>905.58</v>
      </c>
      <c r="N51" s="59"/>
      <c r="O51" s="59"/>
      <c r="P51" s="60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</row>
    <row r="52" spans="1:33" ht="25.5" x14ac:dyDescent="0.2">
      <c r="A52" s="64">
        <v>44353</v>
      </c>
      <c r="B52" s="53" t="s">
        <v>113</v>
      </c>
      <c r="C52" s="54">
        <v>91307</v>
      </c>
      <c r="D52" s="55" t="s">
        <v>114</v>
      </c>
      <c r="E52" s="56" t="s">
        <v>101</v>
      </c>
      <c r="F52" s="56">
        <v>5</v>
      </c>
      <c r="G52" s="57">
        <v>66.319999999999993</v>
      </c>
      <c r="H52" s="57">
        <v>18.57</v>
      </c>
      <c r="I52" s="58">
        <f t="shared" si="10"/>
        <v>84.889999999999986</v>
      </c>
      <c r="J52" s="58">
        <f t="shared" si="11"/>
        <v>331.59999999999997</v>
      </c>
      <c r="K52" s="58">
        <f t="shared" si="12"/>
        <v>92.85</v>
      </c>
      <c r="L52" s="58">
        <f t="shared" si="13"/>
        <v>424.44999999999993</v>
      </c>
      <c r="M52" s="58">
        <f t="shared" si="14"/>
        <v>542.02</v>
      </c>
      <c r="N52" s="59"/>
      <c r="O52" s="59"/>
      <c r="P52" s="60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</row>
    <row r="53" spans="1:33" ht="25.5" x14ac:dyDescent="0.2">
      <c r="A53" s="64">
        <v>44383</v>
      </c>
      <c r="B53" s="53" t="s">
        <v>113</v>
      </c>
      <c r="C53" s="54">
        <v>91304</v>
      </c>
      <c r="D53" s="55" t="s">
        <v>115</v>
      </c>
      <c r="E53" s="56" t="s">
        <v>101</v>
      </c>
      <c r="F53" s="56">
        <v>1</v>
      </c>
      <c r="G53" s="57">
        <v>75.69</v>
      </c>
      <c r="H53" s="57">
        <v>24.25</v>
      </c>
      <c r="I53" s="58">
        <f t="shared" si="10"/>
        <v>99.94</v>
      </c>
      <c r="J53" s="58">
        <f t="shared" si="11"/>
        <v>75.69</v>
      </c>
      <c r="K53" s="58">
        <f t="shared" si="12"/>
        <v>24.25</v>
      </c>
      <c r="L53" s="58">
        <f t="shared" si="13"/>
        <v>99.94</v>
      </c>
      <c r="M53" s="58">
        <f t="shared" si="14"/>
        <v>127.62</v>
      </c>
      <c r="N53" s="59"/>
      <c r="O53" s="59"/>
      <c r="P53" s="60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</row>
    <row r="54" spans="1:33" ht="51" x14ac:dyDescent="0.2">
      <c r="A54" s="64">
        <v>44414</v>
      </c>
      <c r="B54" s="53" t="s">
        <v>113</v>
      </c>
      <c r="C54" s="54">
        <v>91305</v>
      </c>
      <c r="D54" s="55" t="s">
        <v>116</v>
      </c>
      <c r="E54" s="56" t="s">
        <v>101</v>
      </c>
      <c r="F54" s="56">
        <v>2</v>
      </c>
      <c r="G54" s="57">
        <v>81.28</v>
      </c>
      <c r="H54" s="57">
        <v>18.57</v>
      </c>
      <c r="I54" s="58">
        <f t="shared" si="10"/>
        <v>99.85</v>
      </c>
      <c r="J54" s="58">
        <f t="shared" si="11"/>
        <v>162.56</v>
      </c>
      <c r="K54" s="58">
        <f t="shared" si="12"/>
        <v>37.14</v>
      </c>
      <c r="L54" s="58">
        <f t="shared" si="13"/>
        <v>199.7</v>
      </c>
      <c r="M54" s="58">
        <f t="shared" si="14"/>
        <v>255.02</v>
      </c>
      <c r="N54" s="59"/>
      <c r="O54" s="59"/>
      <c r="P54" s="60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</row>
    <row r="55" spans="1:33" ht="25.5" x14ac:dyDescent="0.2">
      <c r="A55" s="64">
        <v>44445</v>
      </c>
      <c r="B55" s="53" t="s">
        <v>117</v>
      </c>
      <c r="C55" s="54" t="s">
        <v>118</v>
      </c>
      <c r="D55" s="55" t="s">
        <v>119</v>
      </c>
      <c r="E55" s="56" t="s">
        <v>30</v>
      </c>
      <c r="F55" s="56">
        <v>10</v>
      </c>
      <c r="G55" s="57">
        <v>583.91</v>
      </c>
      <c r="H55" s="57">
        <v>43.33</v>
      </c>
      <c r="I55" s="58">
        <f t="shared" si="10"/>
        <v>627.24</v>
      </c>
      <c r="J55" s="58">
        <f t="shared" si="11"/>
        <v>5839.0999999999995</v>
      </c>
      <c r="K55" s="58">
        <f t="shared" si="12"/>
        <v>433.29999999999995</v>
      </c>
      <c r="L55" s="58">
        <f t="shared" si="13"/>
        <v>6272.4</v>
      </c>
      <c r="M55" s="58">
        <f t="shared" si="14"/>
        <v>8009.85</v>
      </c>
      <c r="N55" s="59"/>
      <c r="O55" s="59"/>
      <c r="P55" s="60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</row>
    <row r="56" spans="1:33" x14ac:dyDescent="0.2">
      <c r="A56" s="45" t="s">
        <v>120</v>
      </c>
      <c r="B56" s="45" t="s">
        <v>121</v>
      </c>
      <c r="C56" s="46"/>
      <c r="D56" s="45"/>
      <c r="E56" s="47"/>
      <c r="F56" s="48"/>
      <c r="G56" s="47"/>
      <c r="H56" s="48"/>
      <c r="I56" s="50"/>
      <c r="J56" s="51">
        <f>SUM(J57:J61)</f>
        <v>23067.16</v>
      </c>
      <c r="K56" s="51">
        <f>SUM(K57:K61)</f>
        <v>3574.33</v>
      </c>
      <c r="L56" s="51">
        <f>SUM(L57:L61)</f>
        <v>26641.490000000005</v>
      </c>
      <c r="M56" s="51">
        <f>SUM(M57:M61)</f>
        <v>34021.18</v>
      </c>
      <c r="N56" s="43">
        <f>M56</f>
        <v>34021.18</v>
      </c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ht="25.5" x14ac:dyDescent="0.2">
      <c r="A57" s="64">
        <v>44203</v>
      </c>
      <c r="B57" s="53" t="s">
        <v>122</v>
      </c>
      <c r="C57" s="54">
        <v>92566</v>
      </c>
      <c r="D57" s="55" t="s">
        <v>123</v>
      </c>
      <c r="E57" s="56" t="s">
        <v>30</v>
      </c>
      <c r="F57" s="56">
        <v>110</v>
      </c>
      <c r="G57" s="57">
        <v>24.94</v>
      </c>
      <c r="H57" s="57">
        <v>3.45</v>
      </c>
      <c r="I57" s="58">
        <f>G57+H57</f>
        <v>28.39</v>
      </c>
      <c r="J57" s="58">
        <f>G57*F57</f>
        <v>2743.4</v>
      </c>
      <c r="K57" s="58">
        <f>H57*F57</f>
        <v>379.5</v>
      </c>
      <c r="L57" s="58">
        <f>J57+K57</f>
        <v>3122.9</v>
      </c>
      <c r="M57" s="58">
        <f>ROUND(L57*(1+$M$4),2)</f>
        <v>3987.94</v>
      </c>
      <c r="N57" s="59"/>
      <c r="O57" s="59"/>
      <c r="P57" s="60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</row>
    <row r="58" spans="1:33" ht="51" x14ac:dyDescent="0.2">
      <c r="A58" s="64">
        <v>44234</v>
      </c>
      <c r="B58" s="53" t="s">
        <v>122</v>
      </c>
      <c r="C58" s="54">
        <v>92541</v>
      </c>
      <c r="D58" s="55" t="s">
        <v>124</v>
      </c>
      <c r="E58" s="56" t="s">
        <v>30</v>
      </c>
      <c r="F58" s="56">
        <v>110</v>
      </c>
      <c r="G58" s="57">
        <v>84.89</v>
      </c>
      <c r="H58" s="57">
        <v>14.91</v>
      </c>
      <c r="I58" s="58">
        <f>G58+H58</f>
        <v>99.8</v>
      </c>
      <c r="J58" s="58">
        <f>G58*F58</f>
        <v>9337.9</v>
      </c>
      <c r="K58" s="58">
        <f>H58*F58</f>
        <v>1640.1</v>
      </c>
      <c r="L58" s="58">
        <f>J58+K58</f>
        <v>10978</v>
      </c>
      <c r="M58" s="58">
        <f>ROUND(L58*(1+$M$4),2)</f>
        <v>14018.91</v>
      </c>
      <c r="N58" s="59"/>
      <c r="O58" s="59"/>
      <c r="P58" s="60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</row>
    <row r="59" spans="1:33" ht="25.5" x14ac:dyDescent="0.2">
      <c r="A59" s="64">
        <v>44262</v>
      </c>
      <c r="B59" s="53" t="s">
        <v>125</v>
      </c>
      <c r="C59" s="54">
        <v>94442</v>
      </c>
      <c r="D59" s="55" t="s">
        <v>126</v>
      </c>
      <c r="E59" s="56" t="s">
        <v>30</v>
      </c>
      <c r="F59" s="56">
        <v>110</v>
      </c>
      <c r="G59" s="57">
        <v>29.35</v>
      </c>
      <c r="H59" s="57">
        <v>5.85</v>
      </c>
      <c r="I59" s="58">
        <f>G59+H59</f>
        <v>35.200000000000003</v>
      </c>
      <c r="J59" s="58">
        <f>G59*F59</f>
        <v>3228.5</v>
      </c>
      <c r="K59" s="58">
        <f>H59*F59</f>
        <v>643.5</v>
      </c>
      <c r="L59" s="58">
        <f>J59+K59</f>
        <v>3872</v>
      </c>
      <c r="M59" s="58">
        <f>ROUND(L59*(1+$M$4),2)</f>
        <v>4944.54</v>
      </c>
      <c r="N59" s="59"/>
      <c r="O59" s="59"/>
      <c r="P59" s="60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</row>
    <row r="60" spans="1:33" ht="25.5" x14ac:dyDescent="0.2">
      <c r="A60" s="64">
        <v>44293</v>
      </c>
      <c r="B60" s="53" t="s">
        <v>127</v>
      </c>
      <c r="C60" s="54">
        <v>94219</v>
      </c>
      <c r="D60" s="55" t="s">
        <v>128</v>
      </c>
      <c r="E60" s="56" t="s">
        <v>35</v>
      </c>
      <c r="F60" s="56">
        <v>11</v>
      </c>
      <c r="G60" s="57">
        <v>18.760000000000002</v>
      </c>
      <c r="H60" s="57">
        <v>11.33</v>
      </c>
      <c r="I60" s="58">
        <f>G60+H60</f>
        <v>30.090000000000003</v>
      </c>
      <c r="J60" s="58">
        <f>G60*F60</f>
        <v>206.36</v>
      </c>
      <c r="K60" s="58">
        <f>H60*F60</f>
        <v>124.63</v>
      </c>
      <c r="L60" s="58">
        <f>J60+K60</f>
        <v>330.99</v>
      </c>
      <c r="M60" s="58">
        <f>ROUND(L60*(1+$M$4),2)</f>
        <v>422.67</v>
      </c>
      <c r="N60" s="59"/>
      <c r="O60" s="59"/>
      <c r="P60" s="60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</row>
    <row r="61" spans="1:33" ht="38.25" x14ac:dyDescent="0.2">
      <c r="A61" s="64">
        <v>44323</v>
      </c>
      <c r="B61" s="53" t="s">
        <v>129</v>
      </c>
      <c r="C61" s="54">
        <v>96486</v>
      </c>
      <c r="D61" s="55" t="s">
        <v>130</v>
      </c>
      <c r="E61" s="56" t="s">
        <v>30</v>
      </c>
      <c r="F61" s="56">
        <v>90</v>
      </c>
      <c r="G61" s="57">
        <v>83.9</v>
      </c>
      <c r="H61" s="57">
        <v>8.74</v>
      </c>
      <c r="I61" s="58">
        <f>G61+H61</f>
        <v>92.64</v>
      </c>
      <c r="J61" s="58">
        <f>G61*F61</f>
        <v>7551.0000000000009</v>
      </c>
      <c r="K61" s="58">
        <f>H61*F61</f>
        <v>786.6</v>
      </c>
      <c r="L61" s="58">
        <f>J61+K61</f>
        <v>8337.6</v>
      </c>
      <c r="M61" s="58">
        <f>ROUND(L61*(1+$M$4),2)</f>
        <v>10647.12</v>
      </c>
      <c r="N61" s="59"/>
      <c r="O61" s="59"/>
      <c r="P61" s="60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</row>
    <row r="62" spans="1:33" ht="25.5" x14ac:dyDescent="0.2">
      <c r="A62" s="45" t="s">
        <v>131</v>
      </c>
      <c r="B62" s="45" t="s">
        <v>132</v>
      </c>
      <c r="C62" s="46"/>
      <c r="D62" s="45"/>
      <c r="E62" s="47"/>
      <c r="F62" s="48"/>
      <c r="G62" s="47"/>
      <c r="H62" s="48"/>
      <c r="I62" s="50"/>
      <c r="J62" s="51">
        <f>SUM(J63:J66)</f>
        <v>8188.5108</v>
      </c>
      <c r="K62" s="51">
        <f>SUM(K63:K66)</f>
        <v>5994.2311999999993</v>
      </c>
      <c r="L62" s="51">
        <f>SUM(L63:L66)</f>
        <v>14182.742</v>
      </c>
      <c r="M62" s="51">
        <f>SUM(M63:M66)</f>
        <v>18111.349999999999</v>
      </c>
      <c r="N62" s="43">
        <f>M62</f>
        <v>18111.349999999999</v>
      </c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ht="25.5" x14ac:dyDescent="0.2">
      <c r="A63" s="64">
        <v>44204</v>
      </c>
      <c r="B63" s="53" t="s">
        <v>133</v>
      </c>
      <c r="C63" s="54">
        <v>87878</v>
      </c>
      <c r="D63" s="55" t="s">
        <v>134</v>
      </c>
      <c r="E63" s="56" t="s">
        <v>30</v>
      </c>
      <c r="F63" s="56">
        <v>165.44</v>
      </c>
      <c r="G63" s="57">
        <v>2.31</v>
      </c>
      <c r="H63" s="57">
        <v>2.0499999999999998</v>
      </c>
      <c r="I63" s="58">
        <f>G63+H63</f>
        <v>4.3599999999999994</v>
      </c>
      <c r="J63" s="58">
        <f>G63*F63</f>
        <v>382.16640000000001</v>
      </c>
      <c r="K63" s="58">
        <f>H63*F63</f>
        <v>339.15199999999999</v>
      </c>
      <c r="L63" s="58">
        <f>J63+K63</f>
        <v>721.3184</v>
      </c>
      <c r="M63" s="58">
        <f>ROUND(L63*(1+$M$4),2)</f>
        <v>921.12</v>
      </c>
      <c r="N63" s="59"/>
      <c r="O63" s="59"/>
      <c r="P63" s="60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</row>
    <row r="64" spans="1:33" ht="25.5" x14ac:dyDescent="0.2">
      <c r="A64" s="64">
        <v>44235</v>
      </c>
      <c r="B64" s="53" t="s">
        <v>133</v>
      </c>
      <c r="C64" s="54">
        <v>87878</v>
      </c>
      <c r="D64" s="55" t="s">
        <v>135</v>
      </c>
      <c r="E64" s="56" t="s">
        <v>30</v>
      </c>
      <c r="F64" s="56">
        <v>165.44</v>
      </c>
      <c r="G64" s="57">
        <v>2.31</v>
      </c>
      <c r="H64" s="57">
        <v>2.0499999999999998</v>
      </c>
      <c r="I64" s="58">
        <f>G64+H64</f>
        <v>4.3599999999999994</v>
      </c>
      <c r="J64" s="58">
        <f>G64*F64</f>
        <v>382.16640000000001</v>
      </c>
      <c r="K64" s="58">
        <f>H64*F64</f>
        <v>339.15199999999999</v>
      </c>
      <c r="L64" s="58">
        <f>J64+K64</f>
        <v>721.3184</v>
      </c>
      <c r="M64" s="58">
        <f>ROUND(L64*(1+$M$4),2)</f>
        <v>921.12</v>
      </c>
      <c r="N64" s="59"/>
      <c r="O64" s="59"/>
      <c r="P64" s="60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</row>
    <row r="65" spans="1:33" ht="38.25" x14ac:dyDescent="0.2">
      <c r="A65" s="64">
        <v>44263</v>
      </c>
      <c r="B65" s="53" t="s">
        <v>136</v>
      </c>
      <c r="C65" s="54">
        <v>87545</v>
      </c>
      <c r="D65" s="55" t="s">
        <v>137</v>
      </c>
      <c r="E65" s="56" t="s">
        <v>30</v>
      </c>
      <c r="F65" s="56">
        <v>330.88</v>
      </c>
      <c r="G65" s="57">
        <v>11.85</v>
      </c>
      <c r="H65" s="57">
        <v>12.19</v>
      </c>
      <c r="I65" s="58">
        <f>G65+H65</f>
        <v>24.04</v>
      </c>
      <c r="J65" s="58">
        <f>G65*F65</f>
        <v>3920.9279999999999</v>
      </c>
      <c r="K65" s="58">
        <f>H65*F65</f>
        <v>4033.4271999999996</v>
      </c>
      <c r="L65" s="58">
        <f>J65+K65</f>
        <v>7954.3552</v>
      </c>
      <c r="M65" s="58">
        <f>ROUND(L65*(1+$M$4),2)</f>
        <v>10157.709999999999</v>
      </c>
      <c r="N65" s="59"/>
      <c r="O65" s="59"/>
      <c r="P65" s="60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</row>
    <row r="66" spans="1:33" ht="25.5" x14ac:dyDescent="0.2">
      <c r="A66" s="64">
        <v>44294</v>
      </c>
      <c r="B66" s="53" t="s">
        <v>138</v>
      </c>
      <c r="C66" s="54">
        <v>87273</v>
      </c>
      <c r="D66" s="55" t="s">
        <v>139</v>
      </c>
      <c r="E66" s="56" t="s">
        <v>30</v>
      </c>
      <c r="F66" s="56">
        <v>75</v>
      </c>
      <c r="G66" s="57">
        <v>46.71</v>
      </c>
      <c r="H66" s="57">
        <v>17.100000000000001</v>
      </c>
      <c r="I66" s="58">
        <f>G66+H66</f>
        <v>63.81</v>
      </c>
      <c r="J66" s="58">
        <f>G66*F66</f>
        <v>3503.25</v>
      </c>
      <c r="K66" s="58">
        <f>H66*F66</f>
        <v>1282.5</v>
      </c>
      <c r="L66" s="58">
        <f>J66+K66</f>
        <v>4785.75</v>
      </c>
      <c r="M66" s="58">
        <f>ROUND(L66*(1+$M$4),2)</f>
        <v>6111.4</v>
      </c>
      <c r="N66" s="59"/>
      <c r="O66" s="59"/>
      <c r="P66" s="60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</row>
    <row r="67" spans="1:33" x14ac:dyDescent="0.2">
      <c r="A67" s="45" t="s">
        <v>140</v>
      </c>
      <c r="B67" s="45" t="s">
        <v>141</v>
      </c>
      <c r="C67" s="46"/>
      <c r="D67" s="45"/>
      <c r="E67" s="47"/>
      <c r="F67" s="48"/>
      <c r="G67" s="47"/>
      <c r="H67" s="48"/>
      <c r="I67" s="50"/>
      <c r="J67" s="51">
        <f>SUM(J68:J71)</f>
        <v>10873.199999999999</v>
      </c>
      <c r="K67" s="51">
        <f>SUM(K68:K71)</f>
        <v>3297.42</v>
      </c>
      <c r="L67" s="51">
        <f>SUM(L68:L71)</f>
        <v>14170.619999999999</v>
      </c>
      <c r="M67" s="51">
        <f>SUM(M68:M71)</f>
        <v>18095.88</v>
      </c>
      <c r="N67" s="43">
        <f>M67</f>
        <v>18095.88</v>
      </c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ht="25.5" x14ac:dyDescent="0.2">
      <c r="A68" s="64">
        <v>44205</v>
      </c>
      <c r="B68" s="53" t="s">
        <v>142</v>
      </c>
      <c r="C68" s="54">
        <v>95240</v>
      </c>
      <c r="D68" s="55" t="s">
        <v>143</v>
      </c>
      <c r="E68" s="56" t="s">
        <v>30</v>
      </c>
      <c r="F68" s="56">
        <v>90</v>
      </c>
      <c r="G68" s="57">
        <v>10.64</v>
      </c>
      <c r="H68" s="57">
        <v>5.24</v>
      </c>
      <c r="I68" s="58">
        <f>G68+H68</f>
        <v>15.88</v>
      </c>
      <c r="J68" s="58">
        <f>G68*F68</f>
        <v>957.6</v>
      </c>
      <c r="K68" s="58">
        <f>H68*F68</f>
        <v>471.6</v>
      </c>
      <c r="L68" s="58">
        <f>J68+K68</f>
        <v>1429.2</v>
      </c>
      <c r="M68" s="58">
        <f>ROUND(L68*(1+$M$4),2)</f>
        <v>1825.09</v>
      </c>
      <c r="N68" s="59"/>
      <c r="O68" s="59"/>
      <c r="P68" s="60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</row>
    <row r="69" spans="1:33" ht="25.5" x14ac:dyDescent="0.2">
      <c r="A69" s="64">
        <v>44236</v>
      </c>
      <c r="B69" s="53" t="s">
        <v>144</v>
      </c>
      <c r="C69" s="54">
        <v>87620</v>
      </c>
      <c r="D69" s="55" t="s">
        <v>145</v>
      </c>
      <c r="E69" s="56" t="s">
        <v>30</v>
      </c>
      <c r="F69" s="56">
        <v>90</v>
      </c>
      <c r="G69" s="57">
        <v>19.809999999999999</v>
      </c>
      <c r="H69" s="57">
        <v>7.5</v>
      </c>
      <c r="I69" s="58">
        <f>G69+H69</f>
        <v>27.31</v>
      </c>
      <c r="J69" s="58">
        <f>G69*F69</f>
        <v>1782.8999999999999</v>
      </c>
      <c r="K69" s="58">
        <f>H69*F69</f>
        <v>675</v>
      </c>
      <c r="L69" s="58">
        <f>J69+K69</f>
        <v>2457.8999999999996</v>
      </c>
      <c r="M69" s="58">
        <f>ROUND(L69*(1+$M$4),2)</f>
        <v>3138.74</v>
      </c>
      <c r="N69" s="59"/>
      <c r="O69" s="59"/>
      <c r="P69" s="60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</row>
    <row r="70" spans="1:33" ht="25.5" x14ac:dyDescent="0.2">
      <c r="A70" s="64">
        <v>44264</v>
      </c>
      <c r="B70" s="53" t="s">
        <v>146</v>
      </c>
      <c r="C70" s="54">
        <v>87255</v>
      </c>
      <c r="D70" s="55" t="s">
        <v>147</v>
      </c>
      <c r="E70" s="56" t="s">
        <v>30</v>
      </c>
      <c r="F70" s="56">
        <v>90</v>
      </c>
      <c r="G70" s="57">
        <v>77.489999999999995</v>
      </c>
      <c r="H70" s="57">
        <v>21.87</v>
      </c>
      <c r="I70" s="58">
        <f>G70+H70</f>
        <v>99.36</v>
      </c>
      <c r="J70" s="58">
        <f>G70*F70</f>
        <v>6974.0999999999995</v>
      </c>
      <c r="K70" s="58">
        <f>H70*F70</f>
        <v>1968.3000000000002</v>
      </c>
      <c r="L70" s="58">
        <f>J70+K70</f>
        <v>8942.4</v>
      </c>
      <c r="M70" s="58">
        <f>ROUND(L70*(1+$M$4),2)</f>
        <v>11419.44</v>
      </c>
      <c r="N70" s="59"/>
      <c r="O70" s="59"/>
      <c r="P70" s="60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</row>
    <row r="71" spans="1:33" ht="25.5" x14ac:dyDescent="0.2">
      <c r="A71" s="64">
        <v>44295</v>
      </c>
      <c r="B71" s="53" t="s">
        <v>148</v>
      </c>
      <c r="C71" s="54" t="s">
        <v>149</v>
      </c>
      <c r="D71" s="55" t="s">
        <v>150</v>
      </c>
      <c r="E71" s="56" t="s">
        <v>35</v>
      </c>
      <c r="F71" s="56">
        <v>12</v>
      </c>
      <c r="G71" s="57">
        <v>96.55</v>
      </c>
      <c r="H71" s="57">
        <v>15.21</v>
      </c>
      <c r="I71" s="58">
        <f>G71+H71</f>
        <v>111.75999999999999</v>
      </c>
      <c r="J71" s="58">
        <f>G71*F71</f>
        <v>1158.5999999999999</v>
      </c>
      <c r="K71" s="58">
        <f>H71*F71</f>
        <v>182.52</v>
      </c>
      <c r="L71" s="58">
        <f>J71+K71</f>
        <v>1341.12</v>
      </c>
      <c r="M71" s="58">
        <f>ROUND(L71*(1+$M$4),2)</f>
        <v>1712.61</v>
      </c>
      <c r="N71" s="59"/>
      <c r="O71" s="59"/>
      <c r="P71" s="60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</row>
    <row r="72" spans="1:33" x14ac:dyDescent="0.2">
      <c r="A72" s="45" t="s">
        <v>151</v>
      </c>
      <c r="B72" s="45" t="s">
        <v>152</v>
      </c>
      <c r="C72" s="46"/>
      <c r="D72" s="45"/>
      <c r="E72" s="47"/>
      <c r="F72" s="48"/>
      <c r="G72" s="47"/>
      <c r="H72" s="48"/>
      <c r="I72" s="50"/>
      <c r="J72" s="51">
        <f>SUM(J73:J76)</f>
        <v>3791.2620000000002</v>
      </c>
      <c r="K72" s="51">
        <f>SUM(K73:K76)</f>
        <v>1832.8416000000002</v>
      </c>
      <c r="L72" s="51">
        <f>SUM(L73:L76)</f>
        <v>5624.1036000000013</v>
      </c>
      <c r="M72" s="51">
        <f>SUM(M73:M76)</f>
        <v>7181.99</v>
      </c>
      <c r="N72" s="43">
        <f>M72</f>
        <v>7181.99</v>
      </c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ht="25.5" x14ac:dyDescent="0.2">
      <c r="A73" s="64">
        <v>44206</v>
      </c>
      <c r="B73" s="53" t="s">
        <v>153</v>
      </c>
      <c r="C73" s="54" t="s">
        <v>154</v>
      </c>
      <c r="D73" s="55" t="s">
        <v>155</v>
      </c>
      <c r="E73" s="56" t="s">
        <v>30</v>
      </c>
      <c r="F73" s="56">
        <v>297</v>
      </c>
      <c r="G73" s="57">
        <v>1.99</v>
      </c>
      <c r="H73" s="57">
        <v>0.91</v>
      </c>
      <c r="I73" s="58">
        <f>G73+H73</f>
        <v>2.9</v>
      </c>
      <c r="J73" s="58">
        <f>G73*F73</f>
        <v>591.03</v>
      </c>
      <c r="K73" s="58">
        <f>H73*F73</f>
        <v>270.27</v>
      </c>
      <c r="L73" s="58">
        <f>J73+K73</f>
        <v>861.3</v>
      </c>
      <c r="M73" s="58">
        <f>ROUND(L73*(1+$M$4),2)</f>
        <v>1099.8800000000001</v>
      </c>
      <c r="N73" s="59"/>
      <c r="O73" s="59"/>
      <c r="P73" s="60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</row>
    <row r="74" spans="1:33" ht="25.5" x14ac:dyDescent="0.2">
      <c r="A74" s="64">
        <v>44206</v>
      </c>
      <c r="B74" s="53" t="s">
        <v>153</v>
      </c>
      <c r="C74" s="54">
        <v>88489</v>
      </c>
      <c r="D74" s="55" t="s">
        <v>156</v>
      </c>
      <c r="E74" s="56" t="s">
        <v>30</v>
      </c>
      <c r="F74" s="56">
        <v>297</v>
      </c>
      <c r="G74" s="57">
        <v>9.8699999999999992</v>
      </c>
      <c r="H74" s="57">
        <v>4.4000000000000004</v>
      </c>
      <c r="I74" s="58">
        <f>G74+H74</f>
        <v>14.27</v>
      </c>
      <c r="J74" s="58">
        <f>G74*F74</f>
        <v>2931.39</v>
      </c>
      <c r="K74" s="58">
        <f>H74*F74</f>
        <v>1306.8000000000002</v>
      </c>
      <c r="L74" s="58">
        <f>J74+K74</f>
        <v>4238.1900000000005</v>
      </c>
      <c r="M74" s="58">
        <f>ROUND(L74*(1+$M$4),2)</f>
        <v>5412.17</v>
      </c>
      <c r="N74" s="59"/>
      <c r="O74" s="59"/>
      <c r="P74" s="60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</row>
    <row r="75" spans="1:33" ht="25.5" x14ac:dyDescent="0.2">
      <c r="A75" s="64">
        <v>44237</v>
      </c>
      <c r="B75" s="53" t="s">
        <v>157</v>
      </c>
      <c r="C75" s="54" t="s">
        <v>158</v>
      </c>
      <c r="D75" s="55" t="s">
        <v>159</v>
      </c>
      <c r="E75" s="56" t="s">
        <v>30</v>
      </c>
      <c r="F75" s="56">
        <v>13.44</v>
      </c>
      <c r="G75" s="57">
        <v>9.15</v>
      </c>
      <c r="H75" s="57">
        <v>8.81</v>
      </c>
      <c r="I75" s="58">
        <f>G75+H75</f>
        <v>17.96</v>
      </c>
      <c r="J75" s="58">
        <f>G75*F75</f>
        <v>122.976</v>
      </c>
      <c r="K75" s="58">
        <f>H75*F75</f>
        <v>118.4064</v>
      </c>
      <c r="L75" s="58">
        <f>J75+K75</f>
        <v>241.38240000000002</v>
      </c>
      <c r="M75" s="58">
        <f>ROUND(L75*(1+$M$4),2)</f>
        <v>308.25</v>
      </c>
      <c r="N75" s="59"/>
      <c r="O75" s="59"/>
      <c r="P75" s="60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</row>
    <row r="76" spans="1:33" ht="38.25" x14ac:dyDescent="0.2">
      <c r="A76" s="64">
        <v>44265</v>
      </c>
      <c r="B76" s="53" t="s">
        <v>160</v>
      </c>
      <c r="C76" s="54" t="s">
        <v>161</v>
      </c>
      <c r="D76" s="55" t="s">
        <v>162</v>
      </c>
      <c r="E76" s="56" t="s">
        <v>30</v>
      </c>
      <c r="F76" s="56">
        <v>19.32</v>
      </c>
      <c r="G76" s="57">
        <v>7.55</v>
      </c>
      <c r="H76" s="57">
        <v>7.11</v>
      </c>
      <c r="I76" s="58">
        <f>G76+H76</f>
        <v>14.66</v>
      </c>
      <c r="J76" s="58">
        <f>G76*F76</f>
        <v>145.86599999999999</v>
      </c>
      <c r="K76" s="58">
        <f>H76*F76</f>
        <v>137.36520000000002</v>
      </c>
      <c r="L76" s="58">
        <f>J76+K76</f>
        <v>283.2312</v>
      </c>
      <c r="M76" s="58">
        <f>ROUND(L76*(1+$M$4),2)</f>
        <v>361.69</v>
      </c>
      <c r="N76" s="59"/>
      <c r="O76" s="59"/>
      <c r="P76" s="60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</row>
    <row r="77" spans="1:33" x14ac:dyDescent="0.2">
      <c r="A77" s="45" t="s">
        <v>163</v>
      </c>
      <c r="B77" s="45" t="s">
        <v>164</v>
      </c>
      <c r="C77" s="46"/>
      <c r="D77" s="45"/>
      <c r="E77" s="47"/>
      <c r="F77" s="48"/>
      <c r="G77" s="47"/>
      <c r="H77" s="48"/>
      <c r="I77" s="50"/>
      <c r="J77" s="51">
        <f>SUM(J78:J90)</f>
        <v>2166.3650000000002</v>
      </c>
      <c r="K77" s="51">
        <f>SUM(K78:K90)</f>
        <v>260.15999999999997</v>
      </c>
      <c r="L77" s="51">
        <f>SUM(L78:L90)</f>
        <v>2426.5249999999992</v>
      </c>
      <c r="M77" s="51">
        <f>SUM(M78:M90)</f>
        <v>3098.6600000000003</v>
      </c>
      <c r="N77" s="43">
        <f>M77</f>
        <v>3098.6600000000003</v>
      </c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x14ac:dyDescent="0.2">
      <c r="A78" s="64">
        <v>44207</v>
      </c>
      <c r="B78" s="53" t="s">
        <v>165</v>
      </c>
      <c r="C78" s="54">
        <v>94499</v>
      </c>
      <c r="D78" s="55" t="s">
        <v>166</v>
      </c>
      <c r="E78" s="56" t="s">
        <v>101</v>
      </c>
      <c r="F78" s="56">
        <v>3</v>
      </c>
      <c r="G78" s="57">
        <v>245.45</v>
      </c>
      <c r="H78" s="57">
        <v>15.01</v>
      </c>
      <c r="I78" s="58">
        <f t="shared" ref="I78:I90" si="15">G78+H78</f>
        <v>260.45999999999998</v>
      </c>
      <c r="J78" s="58">
        <f t="shared" ref="J78:J90" si="16">G78*F78</f>
        <v>736.34999999999991</v>
      </c>
      <c r="K78" s="58">
        <f t="shared" ref="K78:K90" si="17">H78*F78</f>
        <v>45.03</v>
      </c>
      <c r="L78" s="58">
        <f t="shared" ref="L78:L90" si="18">J78+K78</f>
        <v>781.37999999999988</v>
      </c>
      <c r="M78" s="58">
        <f t="shared" ref="M78:M90" si="19">ROUND(L78*(1+$M$4),2)</f>
        <v>997.82</v>
      </c>
      <c r="N78" s="59"/>
      <c r="O78" s="59"/>
      <c r="P78" s="60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</row>
    <row r="79" spans="1:33" x14ac:dyDescent="0.2">
      <c r="A79" s="64">
        <v>44238</v>
      </c>
      <c r="B79" s="53" t="s">
        <v>165</v>
      </c>
      <c r="C79" s="54">
        <v>94496</v>
      </c>
      <c r="D79" s="55" t="s">
        <v>167</v>
      </c>
      <c r="E79" s="56" t="s">
        <v>101</v>
      </c>
      <c r="F79" s="56">
        <v>2</v>
      </c>
      <c r="G79" s="57">
        <v>68.39</v>
      </c>
      <c r="H79" s="57">
        <v>6.67</v>
      </c>
      <c r="I79" s="58">
        <f t="shared" si="15"/>
        <v>75.06</v>
      </c>
      <c r="J79" s="58">
        <f t="shared" si="16"/>
        <v>136.78</v>
      </c>
      <c r="K79" s="58">
        <f t="shared" si="17"/>
        <v>13.34</v>
      </c>
      <c r="L79" s="58">
        <f t="shared" si="18"/>
        <v>150.12</v>
      </c>
      <c r="M79" s="58">
        <f t="shared" si="19"/>
        <v>191.7</v>
      </c>
      <c r="N79" s="59"/>
      <c r="O79" s="59"/>
      <c r="P79" s="60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</row>
    <row r="80" spans="1:33" x14ac:dyDescent="0.2">
      <c r="A80" s="64">
        <v>44266</v>
      </c>
      <c r="B80" s="53" t="s">
        <v>168</v>
      </c>
      <c r="C80" s="54">
        <v>89446</v>
      </c>
      <c r="D80" s="55" t="s">
        <v>169</v>
      </c>
      <c r="E80" s="56" t="s">
        <v>35</v>
      </c>
      <c r="F80" s="56">
        <v>8.5</v>
      </c>
      <c r="G80" s="57">
        <v>5.55</v>
      </c>
      <c r="H80" s="57">
        <v>0.62</v>
      </c>
      <c r="I80" s="58">
        <f t="shared" si="15"/>
        <v>6.17</v>
      </c>
      <c r="J80" s="58">
        <f t="shared" si="16"/>
        <v>47.174999999999997</v>
      </c>
      <c r="K80" s="58">
        <f t="shared" si="17"/>
        <v>5.27</v>
      </c>
      <c r="L80" s="58">
        <f t="shared" si="18"/>
        <v>52.444999999999993</v>
      </c>
      <c r="M80" s="58">
        <f t="shared" si="19"/>
        <v>66.97</v>
      </c>
      <c r="N80" s="59"/>
      <c r="O80" s="59"/>
      <c r="P80" s="60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</row>
    <row r="81" spans="1:33" x14ac:dyDescent="0.2">
      <c r="A81" s="64">
        <v>44297</v>
      </c>
      <c r="B81" s="53" t="s">
        <v>168</v>
      </c>
      <c r="C81" s="54">
        <v>89447</v>
      </c>
      <c r="D81" s="55" t="s">
        <v>170</v>
      </c>
      <c r="E81" s="56" t="s">
        <v>35</v>
      </c>
      <c r="F81" s="56">
        <v>8</v>
      </c>
      <c r="G81" s="57">
        <v>12.22</v>
      </c>
      <c r="H81" s="57">
        <v>0.76</v>
      </c>
      <c r="I81" s="58">
        <f t="shared" si="15"/>
        <v>12.98</v>
      </c>
      <c r="J81" s="58">
        <f t="shared" si="16"/>
        <v>97.76</v>
      </c>
      <c r="K81" s="58">
        <f t="shared" si="17"/>
        <v>6.08</v>
      </c>
      <c r="L81" s="58">
        <f t="shared" si="18"/>
        <v>103.84</v>
      </c>
      <c r="M81" s="58">
        <f t="shared" si="19"/>
        <v>132.6</v>
      </c>
      <c r="N81" s="59"/>
      <c r="O81" s="59"/>
      <c r="P81" s="60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</row>
    <row r="82" spans="1:33" x14ac:dyDescent="0.2">
      <c r="A82" s="64">
        <v>44327</v>
      </c>
      <c r="B82" s="53" t="s">
        <v>168</v>
      </c>
      <c r="C82" s="54">
        <v>89449</v>
      </c>
      <c r="D82" s="55" t="s">
        <v>171</v>
      </c>
      <c r="E82" s="56" t="s">
        <v>35</v>
      </c>
      <c r="F82" s="56">
        <v>7</v>
      </c>
      <c r="G82" s="57">
        <v>20.32</v>
      </c>
      <c r="H82" s="57">
        <v>1.1000000000000001</v>
      </c>
      <c r="I82" s="58">
        <f t="shared" si="15"/>
        <v>21.42</v>
      </c>
      <c r="J82" s="58">
        <f t="shared" si="16"/>
        <v>142.24</v>
      </c>
      <c r="K82" s="58">
        <f t="shared" si="17"/>
        <v>7.7000000000000011</v>
      </c>
      <c r="L82" s="58">
        <f t="shared" si="18"/>
        <v>149.94</v>
      </c>
      <c r="M82" s="58">
        <f t="shared" si="19"/>
        <v>191.47</v>
      </c>
      <c r="N82" s="59"/>
      <c r="O82" s="59"/>
      <c r="P82" s="60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</row>
    <row r="83" spans="1:33" ht="38.25" x14ac:dyDescent="0.2">
      <c r="A83" s="64">
        <v>44358</v>
      </c>
      <c r="B83" s="53" t="s">
        <v>172</v>
      </c>
      <c r="C83" s="54" t="s">
        <v>173</v>
      </c>
      <c r="D83" s="55" t="s">
        <v>174</v>
      </c>
      <c r="E83" s="56" t="s">
        <v>101</v>
      </c>
      <c r="F83" s="56">
        <v>1</v>
      </c>
      <c r="G83" s="57">
        <v>812</v>
      </c>
      <c r="H83" s="57">
        <v>90.3</v>
      </c>
      <c r="I83" s="58">
        <f t="shared" si="15"/>
        <v>902.3</v>
      </c>
      <c r="J83" s="58">
        <f t="shared" si="16"/>
        <v>812</v>
      </c>
      <c r="K83" s="58">
        <f t="shared" si="17"/>
        <v>90.3</v>
      </c>
      <c r="L83" s="58">
        <f t="shared" si="18"/>
        <v>902.3</v>
      </c>
      <c r="M83" s="58">
        <f t="shared" si="19"/>
        <v>1152.24</v>
      </c>
      <c r="N83" s="59"/>
      <c r="O83" s="59"/>
      <c r="P83" s="60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</row>
    <row r="84" spans="1:33" x14ac:dyDescent="0.2">
      <c r="A84" s="64">
        <v>44388</v>
      </c>
      <c r="B84" s="53" t="s">
        <v>172</v>
      </c>
      <c r="C84" s="54">
        <v>94796</v>
      </c>
      <c r="D84" s="55" t="s">
        <v>175</v>
      </c>
      <c r="E84" s="56" t="s">
        <v>101</v>
      </c>
      <c r="F84" s="56">
        <v>1</v>
      </c>
      <c r="G84" s="57">
        <v>33.42</v>
      </c>
      <c r="H84" s="57">
        <v>6.28</v>
      </c>
      <c r="I84" s="58">
        <f t="shared" si="15"/>
        <v>39.700000000000003</v>
      </c>
      <c r="J84" s="58">
        <f t="shared" si="16"/>
        <v>33.42</v>
      </c>
      <c r="K84" s="58">
        <f t="shared" si="17"/>
        <v>6.28</v>
      </c>
      <c r="L84" s="58">
        <f t="shared" si="18"/>
        <v>39.700000000000003</v>
      </c>
      <c r="M84" s="58">
        <f t="shared" si="19"/>
        <v>50.7</v>
      </c>
      <c r="N84" s="59"/>
      <c r="O84" s="59"/>
      <c r="P84" s="60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</row>
    <row r="85" spans="1:33" x14ac:dyDescent="0.2">
      <c r="A85" s="64">
        <v>44419</v>
      </c>
      <c r="B85" s="53" t="s">
        <v>176</v>
      </c>
      <c r="C85" s="54">
        <v>89362</v>
      </c>
      <c r="D85" s="55" t="s">
        <v>177</v>
      </c>
      <c r="E85" s="56" t="s">
        <v>101</v>
      </c>
      <c r="F85" s="56">
        <v>7</v>
      </c>
      <c r="G85" s="57">
        <v>4.0999999999999996</v>
      </c>
      <c r="H85" s="57">
        <v>5.05</v>
      </c>
      <c r="I85" s="58">
        <f t="shared" si="15"/>
        <v>9.1499999999999986</v>
      </c>
      <c r="J85" s="58">
        <f t="shared" si="16"/>
        <v>28.699999999999996</v>
      </c>
      <c r="K85" s="58">
        <f t="shared" si="17"/>
        <v>35.35</v>
      </c>
      <c r="L85" s="58">
        <f t="shared" si="18"/>
        <v>64.05</v>
      </c>
      <c r="M85" s="58">
        <f t="shared" si="19"/>
        <v>81.790000000000006</v>
      </c>
      <c r="N85" s="59"/>
      <c r="O85" s="59"/>
      <c r="P85" s="60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</row>
    <row r="86" spans="1:33" x14ac:dyDescent="0.2">
      <c r="A86" s="64">
        <v>44450</v>
      </c>
      <c r="B86" s="53" t="s">
        <v>176</v>
      </c>
      <c r="C86" s="54">
        <v>89367</v>
      </c>
      <c r="D86" s="55" t="s">
        <v>178</v>
      </c>
      <c r="E86" s="56" t="s">
        <v>101</v>
      </c>
      <c r="F86" s="56">
        <v>3</v>
      </c>
      <c r="G86" s="57">
        <v>6.88</v>
      </c>
      <c r="H86" s="57">
        <v>6</v>
      </c>
      <c r="I86" s="58">
        <f t="shared" si="15"/>
        <v>12.879999999999999</v>
      </c>
      <c r="J86" s="58">
        <f t="shared" si="16"/>
        <v>20.64</v>
      </c>
      <c r="K86" s="58">
        <f t="shared" si="17"/>
        <v>18</v>
      </c>
      <c r="L86" s="58">
        <f t="shared" si="18"/>
        <v>38.64</v>
      </c>
      <c r="M86" s="58">
        <f t="shared" si="19"/>
        <v>49.34</v>
      </c>
      <c r="N86" s="59"/>
      <c r="O86" s="59"/>
      <c r="P86" s="60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</row>
    <row r="87" spans="1:33" x14ac:dyDescent="0.2">
      <c r="A87" s="64">
        <v>44480</v>
      </c>
      <c r="B87" s="53" t="s">
        <v>176</v>
      </c>
      <c r="C87" s="54">
        <v>89501</v>
      </c>
      <c r="D87" s="55" t="s">
        <v>179</v>
      </c>
      <c r="E87" s="56" t="s">
        <v>101</v>
      </c>
      <c r="F87" s="56">
        <v>4</v>
      </c>
      <c r="G87" s="57">
        <v>12.36</v>
      </c>
      <c r="H87" s="57">
        <v>4.2</v>
      </c>
      <c r="I87" s="58">
        <f t="shared" si="15"/>
        <v>16.559999999999999</v>
      </c>
      <c r="J87" s="58">
        <f t="shared" si="16"/>
        <v>49.44</v>
      </c>
      <c r="K87" s="58">
        <f t="shared" si="17"/>
        <v>16.8</v>
      </c>
      <c r="L87" s="58">
        <f t="shared" si="18"/>
        <v>66.239999999999995</v>
      </c>
      <c r="M87" s="58">
        <f t="shared" si="19"/>
        <v>84.59</v>
      </c>
      <c r="N87" s="59"/>
      <c r="O87" s="59"/>
      <c r="P87" s="60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</row>
    <row r="88" spans="1:33" x14ac:dyDescent="0.2">
      <c r="A88" s="64">
        <v>44511</v>
      </c>
      <c r="B88" s="53" t="s">
        <v>176</v>
      </c>
      <c r="C88" s="54">
        <v>89627</v>
      </c>
      <c r="D88" s="55" t="s">
        <v>180</v>
      </c>
      <c r="E88" s="56" t="s">
        <v>101</v>
      </c>
      <c r="F88" s="56">
        <v>2</v>
      </c>
      <c r="G88" s="57">
        <v>17.09</v>
      </c>
      <c r="H88" s="57">
        <v>4.3499999999999996</v>
      </c>
      <c r="I88" s="58">
        <f t="shared" si="15"/>
        <v>21.439999999999998</v>
      </c>
      <c r="J88" s="58">
        <f t="shared" si="16"/>
        <v>34.18</v>
      </c>
      <c r="K88" s="58">
        <f t="shared" si="17"/>
        <v>8.6999999999999993</v>
      </c>
      <c r="L88" s="58">
        <f t="shared" si="18"/>
        <v>42.879999999999995</v>
      </c>
      <c r="M88" s="58">
        <f t="shared" si="19"/>
        <v>54.76</v>
      </c>
      <c r="N88" s="59"/>
      <c r="O88" s="59"/>
      <c r="P88" s="60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</row>
    <row r="89" spans="1:33" x14ac:dyDescent="0.2">
      <c r="A89" s="64">
        <v>44541</v>
      </c>
      <c r="B89" s="53" t="s">
        <v>176</v>
      </c>
      <c r="C89" s="54">
        <v>89532</v>
      </c>
      <c r="D89" s="55" t="s">
        <v>181</v>
      </c>
      <c r="E89" s="56" t="s">
        <v>101</v>
      </c>
      <c r="F89" s="56">
        <v>1</v>
      </c>
      <c r="G89" s="57">
        <v>7.09</v>
      </c>
      <c r="H89" s="57">
        <v>1.72</v>
      </c>
      <c r="I89" s="58">
        <f t="shared" si="15"/>
        <v>8.81</v>
      </c>
      <c r="J89" s="58">
        <f t="shared" si="16"/>
        <v>7.09</v>
      </c>
      <c r="K89" s="58">
        <f t="shared" si="17"/>
        <v>1.72</v>
      </c>
      <c r="L89" s="58">
        <f t="shared" si="18"/>
        <v>8.81</v>
      </c>
      <c r="M89" s="58">
        <f t="shared" si="19"/>
        <v>11.25</v>
      </c>
      <c r="N89" s="59"/>
      <c r="O89" s="59"/>
      <c r="P89" s="60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</row>
    <row r="90" spans="1:33" x14ac:dyDescent="0.2">
      <c r="A90" s="70" t="s">
        <v>182</v>
      </c>
      <c r="B90" s="53" t="s">
        <v>176</v>
      </c>
      <c r="C90" s="54">
        <v>89625</v>
      </c>
      <c r="D90" s="55" t="s">
        <v>183</v>
      </c>
      <c r="E90" s="56" t="s">
        <v>101</v>
      </c>
      <c r="F90" s="56">
        <v>1</v>
      </c>
      <c r="G90" s="57">
        <v>20.59</v>
      </c>
      <c r="H90" s="57">
        <v>5.59</v>
      </c>
      <c r="I90" s="58">
        <f t="shared" si="15"/>
        <v>26.18</v>
      </c>
      <c r="J90" s="58">
        <f t="shared" si="16"/>
        <v>20.59</v>
      </c>
      <c r="K90" s="58">
        <f t="shared" si="17"/>
        <v>5.59</v>
      </c>
      <c r="L90" s="58">
        <f t="shared" si="18"/>
        <v>26.18</v>
      </c>
      <c r="M90" s="58">
        <f t="shared" si="19"/>
        <v>33.43</v>
      </c>
      <c r="N90" s="59"/>
      <c r="O90" s="59"/>
      <c r="P90" s="60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</row>
    <row r="91" spans="1:33" x14ac:dyDescent="0.2">
      <c r="A91" s="45" t="s">
        <v>184</v>
      </c>
      <c r="B91" s="45" t="s">
        <v>185</v>
      </c>
      <c r="C91" s="46"/>
      <c r="D91" s="45"/>
      <c r="E91" s="47"/>
      <c r="F91" s="48"/>
      <c r="G91" s="47"/>
      <c r="H91" s="48"/>
      <c r="I91" s="50"/>
      <c r="J91" s="51">
        <f>SUM(J92:J102)</f>
        <v>5066.03</v>
      </c>
      <c r="K91" s="51">
        <f>SUM(K92:K102)</f>
        <v>1797.62</v>
      </c>
      <c r="L91" s="51">
        <f>SUM(L92:L102)</f>
        <v>6863.65</v>
      </c>
      <c r="M91" s="51">
        <f>SUM(M92:M102)</f>
        <v>8764.8799999999992</v>
      </c>
      <c r="N91" s="43">
        <f>M91</f>
        <v>8764.8799999999992</v>
      </c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x14ac:dyDescent="0.2">
      <c r="A92" s="64">
        <v>44208</v>
      </c>
      <c r="B92" s="53" t="s">
        <v>186</v>
      </c>
      <c r="C92" s="54">
        <v>89482</v>
      </c>
      <c r="D92" s="55" t="s">
        <v>187</v>
      </c>
      <c r="E92" s="56" t="s">
        <v>101</v>
      </c>
      <c r="F92" s="56">
        <v>3</v>
      </c>
      <c r="G92" s="57">
        <v>30.41</v>
      </c>
      <c r="H92" s="57">
        <v>7.18</v>
      </c>
      <c r="I92" s="58">
        <f t="shared" ref="I92:I102" si="20">G92+H92</f>
        <v>37.590000000000003</v>
      </c>
      <c r="J92" s="58">
        <f t="shared" ref="J92:J102" si="21">G92*F92</f>
        <v>91.23</v>
      </c>
      <c r="K92" s="58">
        <f t="shared" ref="K92:K102" si="22">H92*F92</f>
        <v>21.54</v>
      </c>
      <c r="L92" s="58">
        <f t="shared" ref="L92:L102" si="23">J92+K92</f>
        <v>112.77000000000001</v>
      </c>
      <c r="M92" s="58">
        <f t="shared" ref="M92:M102" si="24">ROUND(L92*(1+$M$4),2)</f>
        <v>144.01</v>
      </c>
      <c r="N92" s="59"/>
      <c r="O92" s="59"/>
      <c r="P92" s="60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</row>
    <row r="93" spans="1:33" ht="25.5" x14ac:dyDescent="0.2">
      <c r="A93" s="64">
        <v>44239</v>
      </c>
      <c r="B93" s="53" t="s">
        <v>168</v>
      </c>
      <c r="C93" s="54">
        <v>89714</v>
      </c>
      <c r="D93" s="55" t="s">
        <v>188</v>
      </c>
      <c r="E93" s="56" t="s">
        <v>35</v>
      </c>
      <c r="F93" s="56">
        <v>30</v>
      </c>
      <c r="G93" s="57">
        <v>38.869999999999997</v>
      </c>
      <c r="H93" s="57">
        <v>24.47</v>
      </c>
      <c r="I93" s="58">
        <f t="shared" si="20"/>
        <v>63.339999999999996</v>
      </c>
      <c r="J93" s="58">
        <f t="shared" si="21"/>
        <v>1166.0999999999999</v>
      </c>
      <c r="K93" s="58">
        <f t="shared" si="22"/>
        <v>734.09999999999991</v>
      </c>
      <c r="L93" s="58">
        <f t="shared" si="23"/>
        <v>1900.1999999999998</v>
      </c>
      <c r="M93" s="58">
        <f t="shared" si="24"/>
        <v>2426.56</v>
      </c>
      <c r="N93" s="59"/>
      <c r="O93" s="59"/>
      <c r="P93" s="60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</row>
    <row r="94" spans="1:33" ht="25.5" x14ac:dyDescent="0.2">
      <c r="A94" s="64">
        <v>44267</v>
      </c>
      <c r="B94" s="53" t="s">
        <v>168</v>
      </c>
      <c r="C94" s="54">
        <v>89711</v>
      </c>
      <c r="D94" s="55" t="s">
        <v>189</v>
      </c>
      <c r="E94" s="56" t="s">
        <v>35</v>
      </c>
      <c r="F94" s="56">
        <v>5</v>
      </c>
      <c r="G94" s="57">
        <v>11.6</v>
      </c>
      <c r="H94" s="57">
        <v>9.92</v>
      </c>
      <c r="I94" s="58">
        <f t="shared" si="20"/>
        <v>21.52</v>
      </c>
      <c r="J94" s="58">
        <f t="shared" si="21"/>
        <v>58</v>
      </c>
      <c r="K94" s="58">
        <f t="shared" si="22"/>
        <v>49.6</v>
      </c>
      <c r="L94" s="58">
        <f t="shared" si="23"/>
        <v>107.6</v>
      </c>
      <c r="M94" s="58">
        <f t="shared" si="24"/>
        <v>137.41</v>
      </c>
      <c r="N94" s="59"/>
      <c r="O94" s="59"/>
      <c r="P94" s="60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</row>
    <row r="95" spans="1:33" ht="25.5" x14ac:dyDescent="0.2">
      <c r="A95" s="64">
        <v>44298</v>
      </c>
      <c r="B95" s="53" t="s">
        <v>168</v>
      </c>
      <c r="C95" s="54">
        <v>89712</v>
      </c>
      <c r="D95" s="55" t="s">
        <v>190</v>
      </c>
      <c r="E95" s="56" t="s">
        <v>35</v>
      </c>
      <c r="F95" s="56">
        <v>16</v>
      </c>
      <c r="G95" s="57">
        <v>20.32</v>
      </c>
      <c r="H95" s="57">
        <v>12.56</v>
      </c>
      <c r="I95" s="58">
        <f t="shared" si="20"/>
        <v>32.880000000000003</v>
      </c>
      <c r="J95" s="58">
        <f t="shared" si="21"/>
        <v>325.12</v>
      </c>
      <c r="K95" s="58">
        <f t="shared" si="22"/>
        <v>200.96</v>
      </c>
      <c r="L95" s="58">
        <f t="shared" si="23"/>
        <v>526.08000000000004</v>
      </c>
      <c r="M95" s="58">
        <f t="shared" si="24"/>
        <v>671.8</v>
      </c>
      <c r="N95" s="59"/>
      <c r="O95" s="59"/>
      <c r="P95" s="60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</row>
    <row r="96" spans="1:33" x14ac:dyDescent="0.2">
      <c r="A96" s="64">
        <v>44328</v>
      </c>
      <c r="B96" s="53" t="s">
        <v>176</v>
      </c>
      <c r="C96" s="54">
        <v>89726</v>
      </c>
      <c r="D96" s="55" t="s">
        <v>191</v>
      </c>
      <c r="E96" s="56" t="s">
        <v>101</v>
      </c>
      <c r="F96" s="56">
        <v>3</v>
      </c>
      <c r="G96" s="57">
        <v>4.74</v>
      </c>
      <c r="H96" s="57">
        <v>3.31</v>
      </c>
      <c r="I96" s="58">
        <f t="shared" si="20"/>
        <v>8.0500000000000007</v>
      </c>
      <c r="J96" s="58">
        <f t="shared" si="21"/>
        <v>14.22</v>
      </c>
      <c r="K96" s="58">
        <f t="shared" si="22"/>
        <v>9.93</v>
      </c>
      <c r="L96" s="58">
        <f t="shared" si="23"/>
        <v>24.15</v>
      </c>
      <c r="M96" s="58">
        <f t="shared" si="24"/>
        <v>30.84</v>
      </c>
      <c r="N96" s="59"/>
      <c r="O96" s="59"/>
      <c r="P96" s="60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</row>
    <row r="97" spans="1:33" x14ac:dyDescent="0.2">
      <c r="A97" s="64">
        <v>44359</v>
      </c>
      <c r="B97" s="53" t="s">
        <v>176</v>
      </c>
      <c r="C97" s="54">
        <v>89783</v>
      </c>
      <c r="D97" s="55" t="s">
        <v>192</v>
      </c>
      <c r="E97" s="56" t="s">
        <v>101</v>
      </c>
      <c r="F97" s="56">
        <v>1</v>
      </c>
      <c r="G97" s="57">
        <v>9.36</v>
      </c>
      <c r="H97" s="57">
        <v>4.62</v>
      </c>
      <c r="I97" s="58">
        <f t="shared" si="20"/>
        <v>13.98</v>
      </c>
      <c r="J97" s="58">
        <f t="shared" si="21"/>
        <v>9.36</v>
      </c>
      <c r="K97" s="58">
        <f t="shared" si="22"/>
        <v>4.62</v>
      </c>
      <c r="L97" s="58">
        <f t="shared" si="23"/>
        <v>13.98</v>
      </c>
      <c r="M97" s="58">
        <f t="shared" si="24"/>
        <v>17.850000000000001</v>
      </c>
      <c r="N97" s="59"/>
      <c r="O97" s="59"/>
      <c r="P97" s="60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</row>
    <row r="98" spans="1:33" x14ac:dyDescent="0.2">
      <c r="A98" s="64">
        <v>44389</v>
      </c>
      <c r="B98" s="53" t="s">
        <v>176</v>
      </c>
      <c r="C98" s="54">
        <v>89746</v>
      </c>
      <c r="D98" s="55" t="s">
        <v>193</v>
      </c>
      <c r="E98" s="56" t="s">
        <v>101</v>
      </c>
      <c r="F98" s="56">
        <v>2</v>
      </c>
      <c r="G98" s="57">
        <v>18.64</v>
      </c>
      <c r="H98" s="57">
        <v>8.26</v>
      </c>
      <c r="I98" s="58">
        <f t="shared" si="20"/>
        <v>26.9</v>
      </c>
      <c r="J98" s="58">
        <f t="shared" si="21"/>
        <v>37.28</v>
      </c>
      <c r="K98" s="58">
        <f t="shared" si="22"/>
        <v>16.52</v>
      </c>
      <c r="L98" s="58">
        <f t="shared" si="23"/>
        <v>53.8</v>
      </c>
      <c r="M98" s="58">
        <f t="shared" si="24"/>
        <v>68.7</v>
      </c>
      <c r="N98" s="59"/>
      <c r="O98" s="59"/>
      <c r="P98" s="60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</row>
    <row r="99" spans="1:33" x14ac:dyDescent="0.2">
      <c r="A99" s="64">
        <v>44420</v>
      </c>
      <c r="B99" s="53" t="s">
        <v>176</v>
      </c>
      <c r="C99" s="54">
        <v>89795</v>
      </c>
      <c r="D99" s="55" t="s">
        <v>194</v>
      </c>
      <c r="E99" s="56" t="s">
        <v>101</v>
      </c>
      <c r="F99" s="56">
        <v>3</v>
      </c>
      <c r="G99" s="57">
        <v>32.49</v>
      </c>
      <c r="H99" s="57">
        <v>8.25</v>
      </c>
      <c r="I99" s="58">
        <f t="shared" si="20"/>
        <v>40.74</v>
      </c>
      <c r="J99" s="58">
        <f t="shared" si="21"/>
        <v>97.47</v>
      </c>
      <c r="K99" s="58">
        <f t="shared" si="22"/>
        <v>24.75</v>
      </c>
      <c r="L99" s="58">
        <f t="shared" si="23"/>
        <v>122.22</v>
      </c>
      <c r="M99" s="58">
        <f t="shared" si="24"/>
        <v>156.07</v>
      </c>
      <c r="N99" s="59"/>
      <c r="O99" s="59"/>
      <c r="P99" s="60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</row>
    <row r="100" spans="1:33" ht="25.5" x14ac:dyDescent="0.2">
      <c r="A100" s="64">
        <v>44451</v>
      </c>
      <c r="B100" s="53" t="s">
        <v>195</v>
      </c>
      <c r="C100" s="54">
        <v>97903</v>
      </c>
      <c r="D100" s="55" t="s">
        <v>196</v>
      </c>
      <c r="E100" s="56" t="s">
        <v>101</v>
      </c>
      <c r="F100" s="56">
        <v>1</v>
      </c>
      <c r="G100" s="57">
        <v>437.44</v>
      </c>
      <c r="H100" s="57">
        <v>288.93</v>
      </c>
      <c r="I100" s="58">
        <f t="shared" si="20"/>
        <v>726.37</v>
      </c>
      <c r="J100" s="58">
        <f t="shared" si="21"/>
        <v>437.44</v>
      </c>
      <c r="K100" s="58">
        <f t="shared" si="22"/>
        <v>288.93</v>
      </c>
      <c r="L100" s="58">
        <f t="shared" si="23"/>
        <v>726.37</v>
      </c>
      <c r="M100" s="58">
        <f t="shared" si="24"/>
        <v>927.57</v>
      </c>
      <c r="N100" s="59"/>
      <c r="O100" s="59"/>
      <c r="P100" s="60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</row>
    <row r="101" spans="1:33" ht="25.5" x14ac:dyDescent="0.2">
      <c r="A101" s="64">
        <v>44481</v>
      </c>
      <c r="B101" s="53" t="s">
        <v>197</v>
      </c>
      <c r="C101" s="54">
        <v>98108</v>
      </c>
      <c r="D101" s="55" t="s">
        <v>198</v>
      </c>
      <c r="E101" s="56" t="s">
        <v>101</v>
      </c>
      <c r="F101" s="56">
        <v>1</v>
      </c>
      <c r="G101" s="57">
        <v>244.67</v>
      </c>
      <c r="H101" s="57">
        <v>185.57</v>
      </c>
      <c r="I101" s="58">
        <f t="shared" si="20"/>
        <v>430.24</v>
      </c>
      <c r="J101" s="58">
        <f t="shared" si="21"/>
        <v>244.67</v>
      </c>
      <c r="K101" s="58">
        <f t="shared" si="22"/>
        <v>185.57</v>
      </c>
      <c r="L101" s="58">
        <f t="shared" si="23"/>
        <v>430.24</v>
      </c>
      <c r="M101" s="58">
        <f t="shared" si="24"/>
        <v>549.41999999999996</v>
      </c>
      <c r="N101" s="59"/>
      <c r="O101" s="59"/>
      <c r="P101" s="60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</row>
    <row r="102" spans="1:33" ht="51" x14ac:dyDescent="0.2">
      <c r="A102" s="64">
        <v>44512</v>
      </c>
      <c r="B102" s="53" t="s">
        <v>199</v>
      </c>
      <c r="C102" s="54">
        <v>98054</v>
      </c>
      <c r="D102" s="55" t="s">
        <v>200</v>
      </c>
      <c r="E102" s="56" t="s">
        <v>101</v>
      </c>
      <c r="F102" s="56">
        <v>1</v>
      </c>
      <c r="G102" s="57">
        <v>2585.14</v>
      </c>
      <c r="H102" s="57">
        <v>261.10000000000002</v>
      </c>
      <c r="I102" s="58">
        <f t="shared" si="20"/>
        <v>2846.24</v>
      </c>
      <c r="J102" s="58">
        <f t="shared" si="21"/>
        <v>2585.14</v>
      </c>
      <c r="K102" s="58">
        <f t="shared" si="22"/>
        <v>261.10000000000002</v>
      </c>
      <c r="L102" s="58">
        <f t="shared" si="23"/>
        <v>2846.24</v>
      </c>
      <c r="M102" s="58">
        <f t="shared" si="24"/>
        <v>3634.65</v>
      </c>
      <c r="N102" s="59"/>
      <c r="O102" s="59"/>
      <c r="P102" s="60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</row>
    <row r="103" spans="1:33" x14ac:dyDescent="0.2">
      <c r="A103" s="45" t="s">
        <v>201</v>
      </c>
      <c r="B103" s="45" t="s">
        <v>202</v>
      </c>
      <c r="C103" s="46"/>
      <c r="D103" s="45"/>
      <c r="E103" s="47"/>
      <c r="F103" s="48"/>
      <c r="G103" s="47"/>
      <c r="H103" s="48"/>
      <c r="I103" s="50"/>
      <c r="J103" s="51">
        <f>SUM(J104:J112)</f>
        <v>4573.1600000000008</v>
      </c>
      <c r="K103" s="51">
        <f>SUM(K104:K112)</f>
        <v>335.15</v>
      </c>
      <c r="L103" s="51">
        <f>SUM(L104:L112)</f>
        <v>4908.3100000000004</v>
      </c>
      <c r="M103" s="51">
        <f>SUM(M104:M112)</f>
        <v>6267.920000000001</v>
      </c>
      <c r="N103" s="43">
        <f>M103</f>
        <v>6267.920000000001</v>
      </c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</row>
    <row r="104" spans="1:33" ht="25.5" x14ac:dyDescent="0.2">
      <c r="A104" s="64">
        <v>44209</v>
      </c>
      <c r="B104" s="53" t="s">
        <v>203</v>
      </c>
      <c r="C104" s="54">
        <v>95469</v>
      </c>
      <c r="D104" s="55" t="s">
        <v>204</v>
      </c>
      <c r="E104" s="56" t="s">
        <v>101</v>
      </c>
      <c r="F104" s="56">
        <v>2</v>
      </c>
      <c r="G104" s="57">
        <v>250.64</v>
      </c>
      <c r="H104" s="57">
        <v>13.91</v>
      </c>
      <c r="I104" s="58">
        <f t="shared" ref="I104:I112" si="25">G104+H104</f>
        <v>264.55</v>
      </c>
      <c r="J104" s="58">
        <f t="shared" ref="J104:J112" si="26">G104*F104</f>
        <v>501.28</v>
      </c>
      <c r="K104" s="58">
        <f t="shared" ref="K104:K112" si="27">H104*F104</f>
        <v>27.82</v>
      </c>
      <c r="L104" s="58">
        <f t="shared" ref="L104:L112" si="28">J104+K104</f>
        <v>529.1</v>
      </c>
      <c r="M104" s="58">
        <f t="shared" ref="M104:M112" si="29">ROUND(L104*(1+$M$4),2)</f>
        <v>675.66</v>
      </c>
      <c r="N104" s="59"/>
      <c r="O104" s="59"/>
      <c r="P104" s="60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</row>
    <row r="105" spans="1:33" ht="25.5" x14ac:dyDescent="0.2">
      <c r="A105" s="64">
        <v>44240</v>
      </c>
      <c r="B105" s="53" t="s">
        <v>205</v>
      </c>
      <c r="C105" s="54">
        <v>99635</v>
      </c>
      <c r="D105" s="55" t="s">
        <v>206</v>
      </c>
      <c r="E105" s="56" t="s">
        <v>101</v>
      </c>
      <c r="F105" s="56">
        <v>2</v>
      </c>
      <c r="G105" s="57">
        <v>281.44</v>
      </c>
      <c r="H105" s="57">
        <v>30.55</v>
      </c>
      <c r="I105" s="58">
        <f t="shared" si="25"/>
        <v>311.99</v>
      </c>
      <c r="J105" s="58">
        <f t="shared" si="26"/>
        <v>562.88</v>
      </c>
      <c r="K105" s="58">
        <f t="shared" si="27"/>
        <v>61.1</v>
      </c>
      <c r="L105" s="58">
        <f t="shared" si="28"/>
        <v>623.98</v>
      </c>
      <c r="M105" s="58">
        <f t="shared" si="29"/>
        <v>796.82</v>
      </c>
      <c r="N105" s="59"/>
      <c r="O105" s="59"/>
      <c r="P105" s="60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</row>
    <row r="106" spans="1:33" ht="51" x14ac:dyDescent="0.2">
      <c r="A106" s="64">
        <v>44268</v>
      </c>
      <c r="B106" s="53" t="s">
        <v>207</v>
      </c>
      <c r="C106" s="54">
        <v>86943</v>
      </c>
      <c r="D106" s="55" t="s">
        <v>208</v>
      </c>
      <c r="E106" s="56" t="s">
        <v>101</v>
      </c>
      <c r="F106" s="56">
        <v>2</v>
      </c>
      <c r="G106" s="57">
        <v>196.79</v>
      </c>
      <c r="H106" s="57">
        <v>20.12</v>
      </c>
      <c r="I106" s="58">
        <f t="shared" si="25"/>
        <v>216.91</v>
      </c>
      <c r="J106" s="58">
        <f t="shared" si="26"/>
        <v>393.58</v>
      </c>
      <c r="K106" s="58">
        <f t="shared" si="27"/>
        <v>40.24</v>
      </c>
      <c r="L106" s="58">
        <f t="shared" si="28"/>
        <v>433.82</v>
      </c>
      <c r="M106" s="58">
        <f t="shared" si="29"/>
        <v>553.99</v>
      </c>
      <c r="N106" s="59"/>
      <c r="O106" s="59"/>
      <c r="P106" s="60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</row>
    <row r="107" spans="1:33" ht="38.25" x14ac:dyDescent="0.2">
      <c r="A107" s="64">
        <v>44299</v>
      </c>
      <c r="B107" s="53" t="s">
        <v>209</v>
      </c>
      <c r="C107" s="54">
        <v>86906</v>
      </c>
      <c r="D107" s="55" t="s">
        <v>210</v>
      </c>
      <c r="E107" s="56" t="s">
        <v>101</v>
      </c>
      <c r="F107" s="56">
        <v>2</v>
      </c>
      <c r="G107" s="57">
        <v>54.64</v>
      </c>
      <c r="H107" s="57">
        <v>2.1800000000000002</v>
      </c>
      <c r="I107" s="58">
        <f t="shared" si="25"/>
        <v>56.82</v>
      </c>
      <c r="J107" s="58">
        <f t="shared" si="26"/>
        <v>109.28</v>
      </c>
      <c r="K107" s="58">
        <f t="shared" si="27"/>
        <v>4.3600000000000003</v>
      </c>
      <c r="L107" s="58">
        <f t="shared" si="28"/>
        <v>113.64</v>
      </c>
      <c r="M107" s="58">
        <f t="shared" si="29"/>
        <v>145.12</v>
      </c>
      <c r="N107" s="59"/>
      <c r="O107" s="59"/>
      <c r="P107" s="60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</row>
    <row r="108" spans="1:33" ht="25.5" x14ac:dyDescent="0.2">
      <c r="A108" s="64">
        <v>44329</v>
      </c>
      <c r="B108" s="53" t="s">
        <v>211</v>
      </c>
      <c r="C108" s="54">
        <v>100868</v>
      </c>
      <c r="D108" s="55" t="s">
        <v>212</v>
      </c>
      <c r="E108" s="56" t="s">
        <v>101</v>
      </c>
      <c r="F108" s="56">
        <v>2</v>
      </c>
      <c r="G108" s="57">
        <v>302.86</v>
      </c>
      <c r="H108" s="57">
        <v>21.69</v>
      </c>
      <c r="I108" s="58">
        <f t="shared" si="25"/>
        <v>324.55</v>
      </c>
      <c r="J108" s="58">
        <f t="shared" si="26"/>
        <v>605.72</v>
      </c>
      <c r="K108" s="58">
        <f t="shared" si="27"/>
        <v>43.38</v>
      </c>
      <c r="L108" s="58">
        <f t="shared" si="28"/>
        <v>649.1</v>
      </c>
      <c r="M108" s="58">
        <f t="shared" si="29"/>
        <v>828.9</v>
      </c>
      <c r="N108" s="59"/>
      <c r="O108" s="59"/>
      <c r="P108" s="60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</row>
    <row r="109" spans="1:33" ht="25.5" x14ac:dyDescent="0.2">
      <c r="A109" s="64">
        <v>44360</v>
      </c>
      <c r="B109" s="53" t="s">
        <v>211</v>
      </c>
      <c r="C109" s="54">
        <v>100868</v>
      </c>
      <c r="D109" s="55" t="s">
        <v>213</v>
      </c>
      <c r="E109" s="56" t="s">
        <v>101</v>
      </c>
      <c r="F109" s="56">
        <v>2</v>
      </c>
      <c r="G109" s="57">
        <v>302.86</v>
      </c>
      <c r="H109" s="57">
        <v>21.69</v>
      </c>
      <c r="I109" s="58">
        <f t="shared" si="25"/>
        <v>324.55</v>
      </c>
      <c r="J109" s="58">
        <f t="shared" si="26"/>
        <v>605.72</v>
      </c>
      <c r="K109" s="58">
        <f t="shared" si="27"/>
        <v>43.38</v>
      </c>
      <c r="L109" s="58">
        <f t="shared" si="28"/>
        <v>649.1</v>
      </c>
      <c r="M109" s="58">
        <f t="shared" si="29"/>
        <v>828.9</v>
      </c>
      <c r="N109" s="59"/>
      <c r="O109" s="59"/>
      <c r="P109" s="60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</row>
    <row r="110" spans="1:33" ht="38.25" x14ac:dyDescent="0.2">
      <c r="A110" s="64">
        <v>44390</v>
      </c>
      <c r="B110" s="53" t="s">
        <v>211</v>
      </c>
      <c r="C110" s="54">
        <v>100867</v>
      </c>
      <c r="D110" s="55" t="s">
        <v>214</v>
      </c>
      <c r="E110" s="56" t="s">
        <v>101</v>
      </c>
      <c r="F110" s="56">
        <v>2</v>
      </c>
      <c r="G110" s="57">
        <v>289.97000000000003</v>
      </c>
      <c r="H110" s="57">
        <v>21.69</v>
      </c>
      <c r="I110" s="58">
        <f t="shared" si="25"/>
        <v>311.66000000000003</v>
      </c>
      <c r="J110" s="58">
        <f t="shared" si="26"/>
        <v>579.94000000000005</v>
      </c>
      <c r="K110" s="58">
        <f t="shared" si="27"/>
        <v>43.38</v>
      </c>
      <c r="L110" s="58">
        <f t="shared" si="28"/>
        <v>623.32000000000005</v>
      </c>
      <c r="M110" s="58">
        <f t="shared" si="29"/>
        <v>795.98</v>
      </c>
      <c r="N110" s="59"/>
      <c r="O110" s="59"/>
      <c r="P110" s="60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</row>
    <row r="111" spans="1:33" ht="76.5" x14ac:dyDescent="0.2">
      <c r="A111" s="64">
        <v>44421</v>
      </c>
      <c r="B111" s="53" t="s">
        <v>215</v>
      </c>
      <c r="C111" s="54" t="s">
        <v>216</v>
      </c>
      <c r="D111" s="55" t="s">
        <v>217</v>
      </c>
      <c r="E111" s="56" t="s">
        <v>101</v>
      </c>
      <c r="F111" s="56">
        <v>1</v>
      </c>
      <c r="G111" s="57">
        <v>1150.8800000000001</v>
      </c>
      <c r="H111" s="57">
        <v>68.849999999999994</v>
      </c>
      <c r="I111" s="58">
        <f t="shared" si="25"/>
        <v>1219.73</v>
      </c>
      <c r="J111" s="58">
        <f t="shared" si="26"/>
        <v>1150.8800000000001</v>
      </c>
      <c r="K111" s="58">
        <f t="shared" si="27"/>
        <v>68.849999999999994</v>
      </c>
      <c r="L111" s="58">
        <f t="shared" si="28"/>
        <v>1219.73</v>
      </c>
      <c r="M111" s="58">
        <f t="shared" si="29"/>
        <v>1557.6</v>
      </c>
      <c r="N111" s="59"/>
      <c r="O111" s="59"/>
      <c r="P111" s="60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</row>
    <row r="112" spans="1:33" ht="25.5" x14ac:dyDescent="0.2">
      <c r="A112" s="64">
        <v>44452</v>
      </c>
      <c r="B112" s="53" t="s">
        <v>218</v>
      </c>
      <c r="C112" s="54">
        <v>86911</v>
      </c>
      <c r="D112" s="55" t="s">
        <v>219</v>
      </c>
      <c r="E112" s="56" t="s">
        <v>101</v>
      </c>
      <c r="F112" s="56">
        <v>1</v>
      </c>
      <c r="G112" s="57">
        <v>63.88</v>
      </c>
      <c r="H112" s="57">
        <v>2.64</v>
      </c>
      <c r="I112" s="58">
        <f t="shared" si="25"/>
        <v>66.52</v>
      </c>
      <c r="J112" s="58">
        <f t="shared" si="26"/>
        <v>63.88</v>
      </c>
      <c r="K112" s="58">
        <f t="shared" si="27"/>
        <v>2.64</v>
      </c>
      <c r="L112" s="58">
        <f t="shared" si="28"/>
        <v>66.52</v>
      </c>
      <c r="M112" s="58">
        <f t="shared" si="29"/>
        <v>84.95</v>
      </c>
      <c r="N112" s="59"/>
      <c r="O112" s="59"/>
      <c r="P112" s="60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</row>
    <row r="113" spans="1:33" x14ac:dyDescent="0.2">
      <c r="A113" s="45" t="s">
        <v>220</v>
      </c>
      <c r="B113" s="45" t="s">
        <v>221</v>
      </c>
      <c r="C113" s="46"/>
      <c r="D113" s="45"/>
      <c r="E113" s="47"/>
      <c r="F113" s="48"/>
      <c r="G113" s="47"/>
      <c r="H113" s="48"/>
      <c r="I113" s="50"/>
      <c r="J113" s="51">
        <f>SUM(J114:J133)</f>
        <v>12794.08</v>
      </c>
      <c r="K113" s="51">
        <f>SUM(K114:K133)</f>
        <v>4163.58</v>
      </c>
      <c r="L113" s="51">
        <f>SUM(L114:L133)</f>
        <v>16957.659999999996</v>
      </c>
      <c r="M113" s="51">
        <f>SUM(M114:M133)</f>
        <v>21654.950000000008</v>
      </c>
      <c r="N113" s="43">
        <f>M113</f>
        <v>21654.950000000008</v>
      </c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</row>
    <row r="114" spans="1:33" ht="51" x14ac:dyDescent="0.2">
      <c r="A114" s="64">
        <v>44210</v>
      </c>
      <c r="B114" s="53" t="s">
        <v>222</v>
      </c>
      <c r="C114" s="54">
        <v>101875</v>
      </c>
      <c r="D114" s="55" t="s">
        <v>223</v>
      </c>
      <c r="E114" s="56" t="s">
        <v>101</v>
      </c>
      <c r="F114" s="56">
        <v>1</v>
      </c>
      <c r="G114" s="57">
        <v>488.66</v>
      </c>
      <c r="H114" s="57">
        <v>17.86</v>
      </c>
      <c r="I114" s="58">
        <f t="shared" ref="I114:I133" si="30">G114+H114</f>
        <v>506.52000000000004</v>
      </c>
      <c r="J114" s="58">
        <f t="shared" ref="J114:J133" si="31">G114*F114</f>
        <v>488.66</v>
      </c>
      <c r="K114" s="58">
        <f t="shared" ref="K114:K133" si="32">H114*F114</f>
        <v>17.86</v>
      </c>
      <c r="L114" s="58">
        <f t="shared" ref="L114:L133" si="33">J114+K114</f>
        <v>506.52000000000004</v>
      </c>
      <c r="M114" s="58">
        <f t="shared" ref="M114:M133" si="34">ROUND(L114*(1+$M$4),2)</f>
        <v>646.83000000000004</v>
      </c>
      <c r="N114" s="59"/>
      <c r="O114" s="59"/>
      <c r="P114" s="60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</row>
    <row r="115" spans="1:33" ht="38.25" x14ac:dyDescent="0.2">
      <c r="A115" s="64">
        <v>44241</v>
      </c>
      <c r="B115" s="53" t="s">
        <v>9</v>
      </c>
      <c r="C115" s="54">
        <v>101877</v>
      </c>
      <c r="D115" s="55" t="s">
        <v>224</v>
      </c>
      <c r="E115" s="56" t="s">
        <v>101</v>
      </c>
      <c r="F115" s="56">
        <v>1</v>
      </c>
      <c r="G115" s="57">
        <v>51.41</v>
      </c>
      <c r="H115" s="57">
        <v>10.27</v>
      </c>
      <c r="I115" s="58">
        <f t="shared" si="30"/>
        <v>61.679999999999993</v>
      </c>
      <c r="J115" s="58">
        <f t="shared" si="31"/>
        <v>51.41</v>
      </c>
      <c r="K115" s="58">
        <f t="shared" si="32"/>
        <v>10.27</v>
      </c>
      <c r="L115" s="58">
        <f t="shared" si="33"/>
        <v>61.679999999999993</v>
      </c>
      <c r="M115" s="58">
        <f t="shared" si="34"/>
        <v>78.77</v>
      </c>
      <c r="N115" s="59"/>
      <c r="O115" s="59"/>
      <c r="P115" s="60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</row>
    <row r="116" spans="1:33" ht="25.5" x14ac:dyDescent="0.2">
      <c r="A116" s="64">
        <v>44269</v>
      </c>
      <c r="B116" s="53" t="s">
        <v>225</v>
      </c>
      <c r="C116" s="54" t="s">
        <v>226</v>
      </c>
      <c r="D116" s="55" t="s">
        <v>227</v>
      </c>
      <c r="E116" s="56" t="s">
        <v>101</v>
      </c>
      <c r="F116" s="56">
        <v>22</v>
      </c>
      <c r="G116" s="57">
        <v>110.63</v>
      </c>
      <c r="H116" s="57">
        <v>13.41</v>
      </c>
      <c r="I116" s="58">
        <f t="shared" si="30"/>
        <v>124.03999999999999</v>
      </c>
      <c r="J116" s="58">
        <f t="shared" si="31"/>
        <v>2433.8599999999997</v>
      </c>
      <c r="K116" s="58">
        <f t="shared" si="32"/>
        <v>295.02</v>
      </c>
      <c r="L116" s="58">
        <f t="shared" si="33"/>
        <v>2728.8799999999997</v>
      </c>
      <c r="M116" s="58">
        <f t="shared" si="34"/>
        <v>3484.78</v>
      </c>
      <c r="N116" s="59"/>
      <c r="O116" s="59"/>
      <c r="P116" s="60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</row>
    <row r="117" spans="1:33" ht="25.5" x14ac:dyDescent="0.2">
      <c r="A117" s="64">
        <v>44300</v>
      </c>
      <c r="B117" s="53" t="s">
        <v>228</v>
      </c>
      <c r="C117" s="54">
        <v>39390</v>
      </c>
      <c r="D117" s="55" t="s">
        <v>229</v>
      </c>
      <c r="E117" s="56" t="s">
        <v>101</v>
      </c>
      <c r="F117" s="56">
        <v>5</v>
      </c>
      <c r="G117" s="57">
        <v>46.51</v>
      </c>
      <c r="H117" s="57">
        <v>0</v>
      </c>
      <c r="I117" s="58">
        <f t="shared" si="30"/>
        <v>46.51</v>
      </c>
      <c r="J117" s="58">
        <f t="shared" si="31"/>
        <v>232.54999999999998</v>
      </c>
      <c r="K117" s="58">
        <f t="shared" si="32"/>
        <v>0</v>
      </c>
      <c r="L117" s="58">
        <f t="shared" si="33"/>
        <v>232.54999999999998</v>
      </c>
      <c r="M117" s="58">
        <f t="shared" si="34"/>
        <v>296.97000000000003</v>
      </c>
      <c r="N117" s="59"/>
      <c r="O117" s="59"/>
      <c r="P117" s="60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</row>
    <row r="118" spans="1:33" ht="51" x14ac:dyDescent="0.2">
      <c r="A118" s="64">
        <v>44330</v>
      </c>
      <c r="B118" s="53" t="s">
        <v>230</v>
      </c>
      <c r="C118" s="54">
        <v>91834</v>
      </c>
      <c r="D118" s="55" t="s">
        <v>231</v>
      </c>
      <c r="E118" s="56" t="s">
        <v>35</v>
      </c>
      <c r="F118" s="56">
        <v>300</v>
      </c>
      <c r="G118" s="57">
        <v>5.75</v>
      </c>
      <c r="H118" s="57">
        <v>3.8</v>
      </c>
      <c r="I118" s="58">
        <f t="shared" si="30"/>
        <v>9.5500000000000007</v>
      </c>
      <c r="J118" s="58">
        <f t="shared" si="31"/>
        <v>1725</v>
      </c>
      <c r="K118" s="58">
        <f t="shared" si="32"/>
        <v>1140</v>
      </c>
      <c r="L118" s="58">
        <f t="shared" si="33"/>
        <v>2865</v>
      </c>
      <c r="M118" s="58">
        <f t="shared" si="34"/>
        <v>3658.61</v>
      </c>
      <c r="N118" s="59"/>
      <c r="O118" s="59"/>
      <c r="P118" s="60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</row>
    <row r="119" spans="1:33" ht="38.25" x14ac:dyDescent="0.2">
      <c r="A119" s="64">
        <v>44361</v>
      </c>
      <c r="B119" s="53" t="s">
        <v>232</v>
      </c>
      <c r="C119" s="54">
        <v>91924</v>
      </c>
      <c r="D119" s="55" t="s">
        <v>233</v>
      </c>
      <c r="E119" s="56" t="s">
        <v>35</v>
      </c>
      <c r="F119" s="56">
        <v>550</v>
      </c>
      <c r="G119" s="57">
        <v>1.97</v>
      </c>
      <c r="H119" s="57">
        <v>0.81</v>
      </c>
      <c r="I119" s="58">
        <f t="shared" si="30"/>
        <v>2.7800000000000002</v>
      </c>
      <c r="J119" s="58">
        <f t="shared" si="31"/>
        <v>1083.5</v>
      </c>
      <c r="K119" s="58">
        <f t="shared" si="32"/>
        <v>445.50000000000006</v>
      </c>
      <c r="L119" s="58">
        <f t="shared" si="33"/>
        <v>1529</v>
      </c>
      <c r="M119" s="58">
        <f t="shared" si="34"/>
        <v>1952.53</v>
      </c>
      <c r="N119" s="59"/>
      <c r="O119" s="59"/>
      <c r="P119" s="60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</row>
    <row r="120" spans="1:33" ht="38.25" x14ac:dyDescent="0.2">
      <c r="A120" s="64">
        <v>44391</v>
      </c>
      <c r="B120" s="53" t="s">
        <v>232</v>
      </c>
      <c r="C120" s="54">
        <v>91926</v>
      </c>
      <c r="D120" s="55" t="s">
        <v>234</v>
      </c>
      <c r="E120" s="56" t="s">
        <v>35</v>
      </c>
      <c r="F120" s="56">
        <v>300</v>
      </c>
      <c r="G120" s="57">
        <v>3.04</v>
      </c>
      <c r="H120" s="57">
        <v>1</v>
      </c>
      <c r="I120" s="58">
        <f t="shared" si="30"/>
        <v>4.04</v>
      </c>
      <c r="J120" s="58">
        <f t="shared" si="31"/>
        <v>912</v>
      </c>
      <c r="K120" s="58">
        <f t="shared" si="32"/>
        <v>300</v>
      </c>
      <c r="L120" s="58">
        <f t="shared" si="33"/>
        <v>1212</v>
      </c>
      <c r="M120" s="58">
        <f t="shared" si="34"/>
        <v>1547.72</v>
      </c>
      <c r="N120" s="59"/>
      <c r="O120" s="59"/>
      <c r="P120" s="60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</row>
    <row r="121" spans="1:33" ht="38.25" x14ac:dyDescent="0.2">
      <c r="A121" s="64">
        <v>44422</v>
      </c>
      <c r="B121" s="53" t="s">
        <v>232</v>
      </c>
      <c r="C121" s="54">
        <v>91928</v>
      </c>
      <c r="D121" s="55" t="s">
        <v>235</v>
      </c>
      <c r="E121" s="56" t="s">
        <v>35</v>
      </c>
      <c r="F121" s="56">
        <v>80</v>
      </c>
      <c r="G121" s="57">
        <v>5.22</v>
      </c>
      <c r="H121" s="57">
        <v>1.32</v>
      </c>
      <c r="I121" s="58">
        <f t="shared" si="30"/>
        <v>6.54</v>
      </c>
      <c r="J121" s="58">
        <f t="shared" si="31"/>
        <v>417.59999999999997</v>
      </c>
      <c r="K121" s="58">
        <f t="shared" si="32"/>
        <v>105.60000000000001</v>
      </c>
      <c r="L121" s="58">
        <f t="shared" si="33"/>
        <v>523.19999999999993</v>
      </c>
      <c r="M121" s="58">
        <f t="shared" si="34"/>
        <v>668.13</v>
      </c>
      <c r="N121" s="59"/>
      <c r="O121" s="59"/>
      <c r="P121" s="60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</row>
    <row r="122" spans="1:33" ht="38.25" x14ac:dyDescent="0.2">
      <c r="A122" s="64">
        <v>44453</v>
      </c>
      <c r="B122" s="53" t="s">
        <v>232</v>
      </c>
      <c r="C122" s="54">
        <v>91930</v>
      </c>
      <c r="D122" s="55" t="s">
        <v>236</v>
      </c>
      <c r="E122" s="56" t="s">
        <v>35</v>
      </c>
      <c r="F122" s="56">
        <v>60</v>
      </c>
      <c r="G122" s="57">
        <v>7.24</v>
      </c>
      <c r="H122" s="57">
        <v>1.72</v>
      </c>
      <c r="I122" s="58">
        <f t="shared" si="30"/>
        <v>8.9600000000000009</v>
      </c>
      <c r="J122" s="58">
        <f t="shared" si="31"/>
        <v>434.40000000000003</v>
      </c>
      <c r="K122" s="58">
        <f t="shared" si="32"/>
        <v>103.2</v>
      </c>
      <c r="L122" s="58">
        <f t="shared" si="33"/>
        <v>537.6</v>
      </c>
      <c r="M122" s="58">
        <f t="shared" si="34"/>
        <v>686.52</v>
      </c>
      <c r="N122" s="59"/>
      <c r="O122" s="59"/>
      <c r="P122" s="60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</row>
    <row r="123" spans="1:33" ht="38.25" x14ac:dyDescent="0.2">
      <c r="A123" s="64">
        <v>44483</v>
      </c>
      <c r="B123" s="53" t="s">
        <v>232</v>
      </c>
      <c r="C123" s="54">
        <v>91932</v>
      </c>
      <c r="D123" s="55" t="s">
        <v>237</v>
      </c>
      <c r="E123" s="56" t="s">
        <v>35</v>
      </c>
      <c r="F123" s="56">
        <v>250</v>
      </c>
      <c r="G123" s="57">
        <v>12.15</v>
      </c>
      <c r="H123" s="57">
        <v>2.57</v>
      </c>
      <c r="I123" s="58">
        <f t="shared" si="30"/>
        <v>14.72</v>
      </c>
      <c r="J123" s="58">
        <f t="shared" si="31"/>
        <v>3037.5</v>
      </c>
      <c r="K123" s="58">
        <f t="shared" si="32"/>
        <v>642.5</v>
      </c>
      <c r="L123" s="58">
        <f t="shared" si="33"/>
        <v>3680</v>
      </c>
      <c r="M123" s="58">
        <f t="shared" si="34"/>
        <v>4699.3599999999997</v>
      </c>
      <c r="N123" s="59"/>
      <c r="O123" s="59"/>
      <c r="P123" s="60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</row>
    <row r="124" spans="1:33" ht="38.25" x14ac:dyDescent="0.2">
      <c r="A124" s="64">
        <v>44514</v>
      </c>
      <c r="B124" s="53" t="s">
        <v>238</v>
      </c>
      <c r="C124" s="54">
        <v>97882</v>
      </c>
      <c r="D124" s="55" t="s">
        <v>239</v>
      </c>
      <c r="E124" s="56" t="s">
        <v>240</v>
      </c>
      <c r="F124" s="56">
        <v>3</v>
      </c>
      <c r="G124" s="57">
        <v>111.68</v>
      </c>
      <c r="H124" s="57">
        <v>25.28</v>
      </c>
      <c r="I124" s="58">
        <f t="shared" si="30"/>
        <v>136.96</v>
      </c>
      <c r="J124" s="58">
        <f t="shared" si="31"/>
        <v>335.04</v>
      </c>
      <c r="K124" s="58">
        <f t="shared" si="32"/>
        <v>75.84</v>
      </c>
      <c r="L124" s="58">
        <f t="shared" si="33"/>
        <v>410.88</v>
      </c>
      <c r="M124" s="58">
        <f t="shared" si="34"/>
        <v>524.69000000000005</v>
      </c>
      <c r="N124" s="59"/>
      <c r="O124" s="59"/>
      <c r="P124" s="60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</row>
    <row r="125" spans="1:33" ht="51" x14ac:dyDescent="0.2">
      <c r="A125" s="64">
        <v>44544</v>
      </c>
      <c r="B125" s="53" t="s">
        <v>241</v>
      </c>
      <c r="C125" s="54">
        <v>91994</v>
      </c>
      <c r="D125" s="55" t="s">
        <v>242</v>
      </c>
      <c r="E125" s="56" t="s">
        <v>101</v>
      </c>
      <c r="F125" s="56">
        <v>30</v>
      </c>
      <c r="G125" s="57">
        <v>13.92</v>
      </c>
      <c r="H125" s="57">
        <v>10.34</v>
      </c>
      <c r="I125" s="58">
        <f t="shared" si="30"/>
        <v>24.259999999999998</v>
      </c>
      <c r="J125" s="58">
        <f t="shared" si="31"/>
        <v>417.6</v>
      </c>
      <c r="K125" s="58">
        <f t="shared" si="32"/>
        <v>310.2</v>
      </c>
      <c r="L125" s="58">
        <f t="shared" si="33"/>
        <v>727.8</v>
      </c>
      <c r="M125" s="58">
        <f t="shared" si="34"/>
        <v>929.4</v>
      </c>
      <c r="N125" s="59"/>
      <c r="O125" s="59"/>
      <c r="P125" s="60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</row>
    <row r="126" spans="1:33" ht="38.25" x14ac:dyDescent="0.2">
      <c r="A126" s="70" t="s">
        <v>243</v>
      </c>
      <c r="B126" s="53" t="s">
        <v>244</v>
      </c>
      <c r="C126" s="54">
        <v>91953</v>
      </c>
      <c r="D126" s="55" t="s">
        <v>245</v>
      </c>
      <c r="E126" s="56" t="s">
        <v>101</v>
      </c>
      <c r="F126" s="56">
        <v>13</v>
      </c>
      <c r="G126" s="57">
        <v>18.02</v>
      </c>
      <c r="H126" s="57">
        <v>9.9</v>
      </c>
      <c r="I126" s="58">
        <f t="shared" si="30"/>
        <v>27.92</v>
      </c>
      <c r="J126" s="58">
        <f t="shared" si="31"/>
        <v>234.26</v>
      </c>
      <c r="K126" s="58">
        <f t="shared" si="32"/>
        <v>128.70000000000002</v>
      </c>
      <c r="L126" s="58">
        <f t="shared" si="33"/>
        <v>362.96000000000004</v>
      </c>
      <c r="M126" s="58">
        <f t="shared" si="34"/>
        <v>463.5</v>
      </c>
      <c r="N126" s="59"/>
      <c r="O126" s="59"/>
      <c r="P126" s="60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</row>
    <row r="127" spans="1:33" ht="38.25" x14ac:dyDescent="0.2">
      <c r="A127" s="70" t="s">
        <v>246</v>
      </c>
      <c r="B127" s="53" t="s">
        <v>247</v>
      </c>
      <c r="C127" s="54">
        <v>93657</v>
      </c>
      <c r="D127" s="55" t="s">
        <v>248</v>
      </c>
      <c r="E127" s="56" t="s">
        <v>101</v>
      </c>
      <c r="F127" s="56">
        <v>14</v>
      </c>
      <c r="G127" s="57">
        <v>13.5</v>
      </c>
      <c r="H127" s="57">
        <v>3.05</v>
      </c>
      <c r="I127" s="58">
        <f t="shared" si="30"/>
        <v>16.55</v>
      </c>
      <c r="J127" s="58">
        <f t="shared" si="31"/>
        <v>189</v>
      </c>
      <c r="K127" s="58">
        <f t="shared" si="32"/>
        <v>42.699999999999996</v>
      </c>
      <c r="L127" s="58">
        <f t="shared" si="33"/>
        <v>231.7</v>
      </c>
      <c r="M127" s="58">
        <f t="shared" si="34"/>
        <v>295.88</v>
      </c>
      <c r="N127" s="59"/>
      <c r="O127" s="59"/>
      <c r="P127" s="60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</row>
    <row r="128" spans="1:33" ht="25.5" x14ac:dyDescent="0.2">
      <c r="A128" s="70" t="s">
        <v>249</v>
      </c>
      <c r="B128" s="53" t="s">
        <v>247</v>
      </c>
      <c r="C128" s="54">
        <v>93661</v>
      </c>
      <c r="D128" s="55" t="s">
        <v>250</v>
      </c>
      <c r="E128" s="56" t="s">
        <v>101</v>
      </c>
      <c r="F128" s="56">
        <v>3</v>
      </c>
      <c r="G128" s="57">
        <v>65.78</v>
      </c>
      <c r="H128" s="57">
        <v>3.17</v>
      </c>
      <c r="I128" s="58">
        <f t="shared" si="30"/>
        <v>68.95</v>
      </c>
      <c r="J128" s="58">
        <f t="shared" si="31"/>
        <v>197.34</v>
      </c>
      <c r="K128" s="58">
        <f t="shared" si="32"/>
        <v>9.51</v>
      </c>
      <c r="L128" s="58">
        <f t="shared" si="33"/>
        <v>206.85</v>
      </c>
      <c r="M128" s="58">
        <f t="shared" si="34"/>
        <v>264.14999999999998</v>
      </c>
      <c r="N128" s="59"/>
      <c r="O128" s="59"/>
      <c r="P128" s="60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</row>
    <row r="129" spans="1:33" ht="38.25" x14ac:dyDescent="0.2">
      <c r="A129" s="70" t="s">
        <v>251</v>
      </c>
      <c r="B129" s="53" t="s">
        <v>252</v>
      </c>
      <c r="C129" s="54">
        <v>97667</v>
      </c>
      <c r="D129" s="55" t="s">
        <v>253</v>
      </c>
      <c r="E129" s="56" t="s">
        <v>254</v>
      </c>
      <c r="F129" s="56">
        <v>40</v>
      </c>
      <c r="G129" s="57">
        <v>5.42</v>
      </c>
      <c r="H129" s="57">
        <v>2.2400000000000002</v>
      </c>
      <c r="I129" s="58">
        <f t="shared" si="30"/>
        <v>7.66</v>
      </c>
      <c r="J129" s="58">
        <f t="shared" si="31"/>
        <v>216.8</v>
      </c>
      <c r="K129" s="58">
        <f t="shared" si="32"/>
        <v>89.600000000000009</v>
      </c>
      <c r="L129" s="58">
        <f t="shared" si="33"/>
        <v>306.40000000000003</v>
      </c>
      <c r="M129" s="58">
        <f t="shared" si="34"/>
        <v>391.27</v>
      </c>
      <c r="N129" s="59"/>
      <c r="O129" s="59"/>
      <c r="P129" s="60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</row>
    <row r="130" spans="1:33" ht="25.5" x14ac:dyDescent="0.2">
      <c r="A130" s="70" t="s">
        <v>255</v>
      </c>
      <c r="B130" s="53" t="s">
        <v>256</v>
      </c>
      <c r="C130" s="54">
        <v>93358</v>
      </c>
      <c r="D130" s="55" t="s">
        <v>257</v>
      </c>
      <c r="E130" s="56" t="s">
        <v>258</v>
      </c>
      <c r="F130" s="56">
        <v>6</v>
      </c>
      <c r="G130" s="57">
        <v>25.76</v>
      </c>
      <c r="H130" s="57">
        <v>52.48</v>
      </c>
      <c r="I130" s="58">
        <f t="shared" si="30"/>
        <v>78.239999999999995</v>
      </c>
      <c r="J130" s="58">
        <f t="shared" si="31"/>
        <v>154.56</v>
      </c>
      <c r="K130" s="58">
        <f t="shared" si="32"/>
        <v>314.88</v>
      </c>
      <c r="L130" s="58">
        <f t="shared" si="33"/>
        <v>469.44</v>
      </c>
      <c r="M130" s="58">
        <f t="shared" si="34"/>
        <v>599.47</v>
      </c>
      <c r="N130" s="59"/>
      <c r="O130" s="59"/>
      <c r="P130" s="60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</row>
    <row r="131" spans="1:33" ht="25.5" x14ac:dyDescent="0.2">
      <c r="A131" s="70" t="s">
        <v>259</v>
      </c>
      <c r="B131" s="53" t="s">
        <v>260</v>
      </c>
      <c r="C131" s="54">
        <v>93382</v>
      </c>
      <c r="D131" s="55" t="s">
        <v>261</v>
      </c>
      <c r="E131" s="56" t="s">
        <v>258</v>
      </c>
      <c r="F131" s="56">
        <v>6</v>
      </c>
      <c r="G131" s="57">
        <v>11.78</v>
      </c>
      <c r="H131" s="57">
        <v>18.97</v>
      </c>
      <c r="I131" s="58">
        <f t="shared" si="30"/>
        <v>30.75</v>
      </c>
      <c r="J131" s="58">
        <f t="shared" si="31"/>
        <v>70.679999999999993</v>
      </c>
      <c r="K131" s="58">
        <f t="shared" si="32"/>
        <v>113.82</v>
      </c>
      <c r="L131" s="58">
        <f t="shared" si="33"/>
        <v>184.5</v>
      </c>
      <c r="M131" s="58">
        <f t="shared" si="34"/>
        <v>235.61</v>
      </c>
      <c r="N131" s="59"/>
      <c r="O131" s="59"/>
      <c r="P131" s="60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</row>
    <row r="132" spans="1:33" ht="25.5" x14ac:dyDescent="0.2">
      <c r="A132" s="70" t="s">
        <v>262</v>
      </c>
      <c r="B132" s="53" t="s">
        <v>263</v>
      </c>
      <c r="C132" s="54">
        <v>98111</v>
      </c>
      <c r="D132" s="55" t="s">
        <v>264</v>
      </c>
      <c r="E132" s="56" t="s">
        <v>15</v>
      </c>
      <c r="F132" s="56">
        <v>1</v>
      </c>
      <c r="G132" s="57">
        <v>38.47</v>
      </c>
      <c r="H132" s="57">
        <v>5.13</v>
      </c>
      <c r="I132" s="58">
        <f t="shared" si="30"/>
        <v>43.6</v>
      </c>
      <c r="J132" s="58">
        <f t="shared" si="31"/>
        <v>38.47</v>
      </c>
      <c r="K132" s="58">
        <f t="shared" si="32"/>
        <v>5.13</v>
      </c>
      <c r="L132" s="58">
        <f t="shared" si="33"/>
        <v>43.6</v>
      </c>
      <c r="M132" s="58">
        <f t="shared" si="34"/>
        <v>55.68</v>
      </c>
      <c r="N132" s="59"/>
      <c r="O132" s="59"/>
      <c r="P132" s="60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</row>
    <row r="133" spans="1:33" ht="38.25" x14ac:dyDescent="0.2">
      <c r="A133" s="70" t="s">
        <v>265</v>
      </c>
      <c r="B133" s="53" t="s">
        <v>263</v>
      </c>
      <c r="C133" s="54">
        <v>96986</v>
      </c>
      <c r="D133" s="55" t="s">
        <v>266</v>
      </c>
      <c r="E133" s="56" t="s">
        <v>15</v>
      </c>
      <c r="F133" s="56">
        <v>1</v>
      </c>
      <c r="G133" s="57">
        <v>123.85</v>
      </c>
      <c r="H133" s="57">
        <v>13.25</v>
      </c>
      <c r="I133" s="58">
        <f t="shared" si="30"/>
        <v>137.1</v>
      </c>
      <c r="J133" s="58">
        <f t="shared" si="31"/>
        <v>123.85</v>
      </c>
      <c r="K133" s="58">
        <f t="shared" si="32"/>
        <v>13.25</v>
      </c>
      <c r="L133" s="58">
        <f t="shared" si="33"/>
        <v>137.1</v>
      </c>
      <c r="M133" s="58">
        <f t="shared" si="34"/>
        <v>175.08</v>
      </c>
      <c r="N133" s="59"/>
      <c r="O133" s="59"/>
      <c r="P133" s="60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</row>
    <row r="134" spans="1:33" x14ac:dyDescent="0.2">
      <c r="A134" s="65"/>
      <c r="B134" s="66"/>
      <c r="C134" s="67"/>
      <c r="D134" s="17"/>
      <c r="E134" s="65"/>
      <c r="F134" s="68"/>
      <c r="G134" s="65"/>
      <c r="H134" s="68"/>
      <c r="I134" s="69"/>
      <c r="J134" s="69"/>
      <c r="K134" s="69"/>
      <c r="L134" s="69"/>
      <c r="M134" s="69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</row>
    <row r="135" spans="1:33" x14ac:dyDescent="0.2">
      <c r="A135" s="45" t="s">
        <v>267</v>
      </c>
      <c r="B135" s="45" t="s">
        <v>268</v>
      </c>
      <c r="C135" s="46"/>
      <c r="D135" s="45"/>
      <c r="E135" s="47"/>
      <c r="F135" s="48"/>
      <c r="G135" s="47"/>
      <c r="H135" s="48"/>
      <c r="I135" s="50"/>
      <c r="J135" s="51">
        <f>SUM(J136)</f>
        <v>167</v>
      </c>
      <c r="K135" s="51">
        <f>SUM(K136)</f>
        <v>330</v>
      </c>
      <c r="L135" s="51">
        <f>SUM(L136)</f>
        <v>497</v>
      </c>
      <c r="M135" s="51">
        <f>SUM(M136)</f>
        <v>634.66999999999996</v>
      </c>
      <c r="N135" s="43">
        <f>M135</f>
        <v>634.66999999999996</v>
      </c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</row>
    <row r="136" spans="1:33" x14ac:dyDescent="0.2">
      <c r="A136" s="64">
        <v>44211</v>
      </c>
      <c r="B136" s="53" t="s">
        <v>269</v>
      </c>
      <c r="C136" s="54" t="s">
        <v>270</v>
      </c>
      <c r="D136" s="55" t="s">
        <v>271</v>
      </c>
      <c r="E136" s="56" t="s">
        <v>30</v>
      </c>
      <c r="F136" s="56">
        <v>100</v>
      </c>
      <c r="G136" s="57">
        <v>1.67</v>
      </c>
      <c r="H136" s="57">
        <v>3.3</v>
      </c>
      <c r="I136" s="58">
        <f>G136+H136</f>
        <v>4.97</v>
      </c>
      <c r="J136" s="58">
        <f>G136*F136</f>
        <v>167</v>
      </c>
      <c r="K136" s="58">
        <f>H136*F136</f>
        <v>330</v>
      </c>
      <c r="L136" s="58">
        <f>J136+K136</f>
        <v>497</v>
      </c>
      <c r="M136" s="58">
        <f>ROUND(L136*(1+$M$4),2)</f>
        <v>634.66999999999996</v>
      </c>
      <c r="N136" s="59"/>
      <c r="O136" s="59"/>
      <c r="P136" s="60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</row>
    <row r="137" spans="1:33" x14ac:dyDescent="0.2">
      <c r="A137" s="65"/>
      <c r="B137" s="66"/>
      <c r="C137" s="67"/>
      <c r="D137" s="17"/>
      <c r="E137" s="65"/>
      <c r="F137" s="68"/>
      <c r="G137" s="65"/>
      <c r="H137" s="68"/>
      <c r="I137" s="69"/>
      <c r="J137" s="69"/>
      <c r="K137" s="69"/>
      <c r="L137" s="69"/>
      <c r="M137" s="69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</row>
    <row r="138" spans="1:33" x14ac:dyDescent="0.2">
      <c r="A138" s="71"/>
      <c r="B138" s="72" t="s">
        <v>272</v>
      </c>
      <c r="C138" s="73"/>
      <c r="D138" s="74"/>
      <c r="E138" s="71"/>
      <c r="F138" s="75"/>
      <c r="G138" s="71"/>
      <c r="H138" s="75"/>
      <c r="I138" s="76"/>
      <c r="J138" s="76"/>
      <c r="K138" s="76"/>
      <c r="L138" s="76"/>
      <c r="M138" s="76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</row>
    <row r="139" spans="1:33" x14ac:dyDescent="0.2">
      <c r="A139" s="45" t="s">
        <v>273</v>
      </c>
      <c r="B139" s="62" t="s">
        <v>274</v>
      </c>
      <c r="C139" s="46"/>
      <c r="D139" s="45"/>
      <c r="E139" s="47"/>
      <c r="F139" s="48"/>
      <c r="G139" s="47"/>
      <c r="H139" s="48"/>
      <c r="I139" s="50"/>
      <c r="J139" s="51">
        <f>SUM(J140:J148)</f>
        <v>49623.354699999996</v>
      </c>
      <c r="K139" s="51">
        <f>SUM(K140:K148)</f>
        <v>7288.7959800000008</v>
      </c>
      <c r="L139" s="51">
        <f>SUM(L140:L148)</f>
        <v>56912.150679999999</v>
      </c>
      <c r="M139" s="51">
        <f>SUM(M140:M148)</f>
        <v>72676.820000000007</v>
      </c>
      <c r="N139" s="77">
        <f>M139</f>
        <v>72676.820000000007</v>
      </c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</row>
    <row r="140" spans="1:33" ht="38.25" x14ac:dyDescent="0.2">
      <c r="A140" s="64">
        <v>44577</v>
      </c>
      <c r="B140" s="53" t="s">
        <v>32</v>
      </c>
      <c r="C140" s="54">
        <v>99059</v>
      </c>
      <c r="D140" s="55" t="s">
        <v>34</v>
      </c>
      <c r="E140" s="56" t="s">
        <v>35</v>
      </c>
      <c r="F140" s="56">
        <v>18</v>
      </c>
      <c r="G140" s="57">
        <v>37.44</v>
      </c>
      <c r="H140" s="57">
        <v>21.65</v>
      </c>
      <c r="I140" s="58">
        <f t="shared" ref="I140:I148" si="35">G140+H140</f>
        <v>59.089999999999996</v>
      </c>
      <c r="J140" s="58">
        <f t="shared" ref="J140:J148" si="36">G140*F140</f>
        <v>673.92</v>
      </c>
      <c r="K140" s="58">
        <f t="shared" ref="K140:K148" si="37">H140*F140</f>
        <v>389.7</v>
      </c>
      <c r="L140" s="58">
        <f t="shared" ref="L140:L148" si="38">J140+K140</f>
        <v>1063.6199999999999</v>
      </c>
      <c r="M140" s="58">
        <f t="shared" ref="M140:M148" si="39">ROUND(L140*(1+$M$4),2)</f>
        <v>1358.24</v>
      </c>
      <c r="N140" s="59"/>
      <c r="O140" s="59"/>
      <c r="P140" s="60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</row>
    <row r="141" spans="1:33" ht="38.25" x14ac:dyDescent="0.2">
      <c r="A141" s="64">
        <v>44608</v>
      </c>
      <c r="B141" s="53" t="s">
        <v>275</v>
      </c>
      <c r="C141" s="54">
        <v>101174</v>
      </c>
      <c r="D141" s="55" t="s">
        <v>276</v>
      </c>
      <c r="E141" s="56" t="s">
        <v>35</v>
      </c>
      <c r="F141" s="56">
        <f>18*3</f>
        <v>54</v>
      </c>
      <c r="G141" s="57">
        <v>47.48</v>
      </c>
      <c r="H141" s="57">
        <v>31.19</v>
      </c>
      <c r="I141" s="58">
        <f t="shared" si="35"/>
        <v>78.67</v>
      </c>
      <c r="J141" s="58">
        <f t="shared" si="36"/>
        <v>2563.9199999999996</v>
      </c>
      <c r="K141" s="58">
        <f t="shared" si="37"/>
        <v>1684.26</v>
      </c>
      <c r="L141" s="58">
        <f t="shared" si="38"/>
        <v>4248.1799999999994</v>
      </c>
      <c r="M141" s="58">
        <f t="shared" si="39"/>
        <v>5424.93</v>
      </c>
      <c r="N141" s="59"/>
      <c r="O141" s="59"/>
      <c r="P141" s="60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</row>
    <row r="142" spans="1:33" ht="25.5" x14ac:dyDescent="0.2">
      <c r="A142" s="64">
        <v>44636</v>
      </c>
      <c r="B142" s="53" t="s">
        <v>277</v>
      </c>
      <c r="C142" s="54">
        <v>96523</v>
      </c>
      <c r="D142" s="55" t="s">
        <v>278</v>
      </c>
      <c r="E142" s="56" t="s">
        <v>45</v>
      </c>
      <c r="F142" s="56">
        <f>0.5*0.5*0.5*18</f>
        <v>2.25</v>
      </c>
      <c r="G142" s="57">
        <v>27.76</v>
      </c>
      <c r="H142" s="57">
        <v>62.83</v>
      </c>
      <c r="I142" s="58">
        <f t="shared" si="35"/>
        <v>90.59</v>
      </c>
      <c r="J142" s="58">
        <f t="shared" si="36"/>
        <v>62.46</v>
      </c>
      <c r="K142" s="58">
        <f t="shared" si="37"/>
        <v>141.36750000000001</v>
      </c>
      <c r="L142" s="58">
        <f t="shared" si="38"/>
        <v>203.82750000000001</v>
      </c>
      <c r="M142" s="58">
        <f t="shared" si="39"/>
        <v>260.29000000000002</v>
      </c>
      <c r="N142" s="59"/>
      <c r="O142" s="59"/>
      <c r="P142" s="60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</row>
    <row r="143" spans="1:33" ht="38.25" x14ac:dyDescent="0.2">
      <c r="A143" s="64">
        <v>44667</v>
      </c>
      <c r="B143" s="53" t="s">
        <v>279</v>
      </c>
      <c r="C143" s="54">
        <v>94970</v>
      </c>
      <c r="D143" s="55" t="s">
        <v>280</v>
      </c>
      <c r="E143" s="56" t="s">
        <v>45</v>
      </c>
      <c r="F143" s="56">
        <f>0.5*0.5*0.5*18</f>
        <v>2.25</v>
      </c>
      <c r="G143" s="57">
        <v>344.03</v>
      </c>
      <c r="H143" s="57">
        <v>44.3</v>
      </c>
      <c r="I143" s="58">
        <f t="shared" si="35"/>
        <v>388.33</v>
      </c>
      <c r="J143" s="58">
        <f t="shared" si="36"/>
        <v>774.06749999999988</v>
      </c>
      <c r="K143" s="58">
        <f t="shared" si="37"/>
        <v>99.674999999999997</v>
      </c>
      <c r="L143" s="58">
        <f t="shared" si="38"/>
        <v>873.74249999999984</v>
      </c>
      <c r="M143" s="58">
        <f t="shared" si="39"/>
        <v>1115.77</v>
      </c>
      <c r="N143" s="59"/>
      <c r="O143" s="59"/>
      <c r="P143" s="60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</row>
    <row r="144" spans="1:33" ht="38.25" x14ac:dyDescent="0.2">
      <c r="A144" s="64">
        <v>44697</v>
      </c>
      <c r="B144" s="53" t="s">
        <v>281</v>
      </c>
      <c r="C144" s="54">
        <v>96545</v>
      </c>
      <c r="D144" s="55" t="s">
        <v>282</v>
      </c>
      <c r="E144" s="56" t="s">
        <v>61</v>
      </c>
      <c r="F144" s="56">
        <v>140</v>
      </c>
      <c r="G144" s="57">
        <v>13.12</v>
      </c>
      <c r="H144" s="57">
        <v>2.96</v>
      </c>
      <c r="I144" s="58">
        <f t="shared" si="35"/>
        <v>16.079999999999998</v>
      </c>
      <c r="J144" s="58">
        <f t="shared" si="36"/>
        <v>1836.8</v>
      </c>
      <c r="K144" s="58">
        <f t="shared" si="37"/>
        <v>414.4</v>
      </c>
      <c r="L144" s="58">
        <f t="shared" si="38"/>
        <v>2251.1999999999998</v>
      </c>
      <c r="M144" s="58">
        <f t="shared" si="39"/>
        <v>2874.78</v>
      </c>
      <c r="N144" s="59"/>
      <c r="O144" s="59"/>
      <c r="P144" s="60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</row>
    <row r="145" spans="1:33" ht="51" x14ac:dyDescent="0.2">
      <c r="A145" s="64">
        <v>44728</v>
      </c>
      <c r="B145" s="53" t="s">
        <v>283</v>
      </c>
      <c r="C145" s="54">
        <v>92443</v>
      </c>
      <c r="D145" s="55" t="s">
        <v>284</v>
      </c>
      <c r="E145" s="56" t="s">
        <v>72</v>
      </c>
      <c r="F145" s="56">
        <v>72</v>
      </c>
      <c r="G145" s="57">
        <v>28.45</v>
      </c>
      <c r="H145" s="57">
        <v>14.87</v>
      </c>
      <c r="I145" s="58">
        <f t="shared" si="35"/>
        <v>43.32</v>
      </c>
      <c r="J145" s="58">
        <f t="shared" si="36"/>
        <v>2048.4</v>
      </c>
      <c r="K145" s="58">
        <f t="shared" si="37"/>
        <v>1070.6399999999999</v>
      </c>
      <c r="L145" s="58">
        <f t="shared" si="38"/>
        <v>3119.04</v>
      </c>
      <c r="M145" s="58">
        <f t="shared" si="39"/>
        <v>3983.01</v>
      </c>
      <c r="N145" s="59"/>
      <c r="O145" s="59"/>
      <c r="P145" s="60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</row>
    <row r="146" spans="1:33" ht="38.25" x14ac:dyDescent="0.2">
      <c r="A146" s="64">
        <v>44758</v>
      </c>
      <c r="B146" s="53" t="s">
        <v>285</v>
      </c>
      <c r="C146" s="54">
        <v>92763</v>
      </c>
      <c r="D146" s="55" t="s">
        <v>286</v>
      </c>
      <c r="E146" s="56" t="s">
        <v>287</v>
      </c>
      <c r="F146" s="56">
        <v>362</v>
      </c>
      <c r="G146" s="57">
        <v>10.119999999999999</v>
      </c>
      <c r="H146" s="57">
        <v>0.61</v>
      </c>
      <c r="I146" s="58">
        <f t="shared" si="35"/>
        <v>10.729999999999999</v>
      </c>
      <c r="J146" s="58">
        <f t="shared" si="36"/>
        <v>3663.4399999999996</v>
      </c>
      <c r="K146" s="58">
        <f t="shared" si="37"/>
        <v>220.82</v>
      </c>
      <c r="L146" s="58">
        <f t="shared" si="38"/>
        <v>3884.2599999999998</v>
      </c>
      <c r="M146" s="58">
        <f t="shared" si="39"/>
        <v>4960.2</v>
      </c>
      <c r="N146" s="59"/>
      <c r="O146" s="59"/>
      <c r="P146" s="60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</row>
    <row r="147" spans="1:33" ht="38.25" x14ac:dyDescent="0.2">
      <c r="A147" s="64">
        <v>44789</v>
      </c>
      <c r="B147" s="53" t="s">
        <v>288</v>
      </c>
      <c r="C147" s="54" t="s">
        <v>289</v>
      </c>
      <c r="D147" s="55" t="s">
        <v>290</v>
      </c>
      <c r="E147" s="56" t="s">
        <v>258</v>
      </c>
      <c r="F147" s="56">
        <f>4.3*0.2*0.3*18</f>
        <v>4.6440000000000001</v>
      </c>
      <c r="G147" s="57">
        <v>478.8</v>
      </c>
      <c r="H147" s="57">
        <v>26.17</v>
      </c>
      <c r="I147" s="58">
        <f t="shared" si="35"/>
        <v>504.97</v>
      </c>
      <c r="J147" s="58">
        <f t="shared" si="36"/>
        <v>2223.5472</v>
      </c>
      <c r="K147" s="58">
        <f t="shared" si="37"/>
        <v>121.53348000000001</v>
      </c>
      <c r="L147" s="58">
        <f t="shared" si="38"/>
        <v>2345.08068</v>
      </c>
      <c r="M147" s="58">
        <f t="shared" si="39"/>
        <v>2994.67</v>
      </c>
      <c r="N147" s="59"/>
      <c r="O147" s="59"/>
      <c r="P147" s="60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</row>
    <row r="148" spans="1:33" ht="51" x14ac:dyDescent="0.2">
      <c r="A148" s="64">
        <v>44820</v>
      </c>
      <c r="B148" s="53" t="s">
        <v>291</v>
      </c>
      <c r="C148" s="54">
        <v>92335</v>
      </c>
      <c r="D148" s="55" t="s">
        <v>292</v>
      </c>
      <c r="E148" s="56" t="s">
        <v>254</v>
      </c>
      <c r="F148" s="56">
        <v>360</v>
      </c>
      <c r="G148" s="57">
        <v>99.38</v>
      </c>
      <c r="H148" s="57">
        <v>8.74</v>
      </c>
      <c r="I148" s="58">
        <f t="shared" si="35"/>
        <v>108.11999999999999</v>
      </c>
      <c r="J148" s="58">
        <f t="shared" si="36"/>
        <v>35776.799999999996</v>
      </c>
      <c r="K148" s="58">
        <f t="shared" si="37"/>
        <v>3146.4</v>
      </c>
      <c r="L148" s="58">
        <f t="shared" si="38"/>
        <v>38923.199999999997</v>
      </c>
      <c r="M148" s="58">
        <f t="shared" si="39"/>
        <v>49704.93</v>
      </c>
      <c r="N148" s="59"/>
      <c r="O148" s="59"/>
      <c r="P148" s="60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</row>
    <row r="149" spans="1:33" ht="15" x14ac:dyDescent="0.25">
      <c r="A149" s="45" t="s">
        <v>293</v>
      </c>
      <c r="B149" s="62" t="s">
        <v>294</v>
      </c>
      <c r="C149" s="46"/>
      <c r="D149" s="45"/>
      <c r="E149" s="47"/>
      <c r="F149" s="48"/>
      <c r="G149" s="47"/>
      <c r="H149" s="48"/>
      <c r="I149" s="50"/>
      <c r="J149" s="51">
        <f>SUM(J150:J158)</f>
        <v>183009.24000000002</v>
      </c>
      <c r="K149" s="51">
        <f>SUM(K150:K158)</f>
        <v>10796.4</v>
      </c>
      <c r="L149" s="51">
        <f>SUM(L150:L158)</f>
        <v>193805.64</v>
      </c>
      <c r="M149" s="51">
        <f>SUM(M150:M155)</f>
        <v>247489.80000000002</v>
      </c>
      <c r="N149" s="78">
        <f>M149</f>
        <v>247489.80000000002</v>
      </c>
      <c r="O149" s="60"/>
      <c r="P149" s="60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</row>
    <row r="150" spans="1:33" ht="38.25" x14ac:dyDescent="0.2">
      <c r="A150" s="64">
        <v>44578</v>
      </c>
      <c r="B150" s="53" t="s">
        <v>295</v>
      </c>
      <c r="C150" s="54">
        <v>92593</v>
      </c>
      <c r="D150" s="55" t="s">
        <v>296</v>
      </c>
      <c r="E150" s="56" t="s">
        <v>61</v>
      </c>
      <c r="F150" s="56">
        <f>9*380</f>
        <v>3420</v>
      </c>
      <c r="G150" s="57">
        <v>12.83</v>
      </c>
      <c r="H150" s="57">
        <v>1.35</v>
      </c>
      <c r="I150" s="58">
        <f t="shared" ref="I150:I155" si="40">G150+H150</f>
        <v>14.18</v>
      </c>
      <c r="J150" s="58">
        <f t="shared" ref="J150:J155" si="41">G150*F150</f>
        <v>43878.6</v>
      </c>
      <c r="K150" s="58">
        <f t="shared" ref="K150:K155" si="42">H150*F150</f>
        <v>4617</v>
      </c>
      <c r="L150" s="58">
        <f t="shared" ref="L150:L155" si="43">J150+K150</f>
        <v>48495.6</v>
      </c>
      <c r="M150" s="58">
        <f t="shared" ref="M150:M155" si="44">ROUND(L150*(1+$M$4),2)</f>
        <v>61928.88</v>
      </c>
      <c r="N150" s="79"/>
      <c r="O150" s="60"/>
      <c r="P150" s="60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</row>
    <row r="151" spans="1:33" ht="63.75" x14ac:dyDescent="0.2">
      <c r="A151" s="64">
        <v>44609</v>
      </c>
      <c r="B151" s="53" t="s">
        <v>297</v>
      </c>
      <c r="C151" s="54">
        <v>93401</v>
      </c>
      <c r="D151" s="55" t="s">
        <v>298</v>
      </c>
      <c r="E151" s="56" t="s">
        <v>299</v>
      </c>
      <c r="F151" s="56">
        <v>24</v>
      </c>
      <c r="G151" s="57">
        <v>186.06</v>
      </c>
      <c r="H151" s="57">
        <v>0</v>
      </c>
      <c r="I151" s="58">
        <f t="shared" si="40"/>
        <v>186.06</v>
      </c>
      <c r="J151" s="58">
        <f t="shared" si="41"/>
        <v>4465.4400000000005</v>
      </c>
      <c r="K151" s="58">
        <f t="shared" si="42"/>
        <v>0</v>
      </c>
      <c r="L151" s="58">
        <f t="shared" si="43"/>
        <v>4465.4400000000005</v>
      </c>
      <c r="M151" s="58">
        <f t="shared" si="44"/>
        <v>5702.37</v>
      </c>
      <c r="N151" s="59"/>
      <c r="O151" s="59"/>
      <c r="P151" s="60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</row>
    <row r="152" spans="1:33" ht="63.75" x14ac:dyDescent="0.2">
      <c r="A152" s="64">
        <v>44637</v>
      </c>
      <c r="B152" s="53" t="s">
        <v>300</v>
      </c>
      <c r="C152" s="54">
        <v>100764</v>
      </c>
      <c r="D152" s="55" t="s">
        <v>301</v>
      </c>
      <c r="E152" s="56" t="s">
        <v>287</v>
      </c>
      <c r="F152" s="56">
        <v>2900</v>
      </c>
      <c r="G152" s="57">
        <v>17.54</v>
      </c>
      <c r="H152" s="57">
        <v>1.07</v>
      </c>
      <c r="I152" s="58">
        <f t="shared" si="40"/>
        <v>18.61</v>
      </c>
      <c r="J152" s="58">
        <f t="shared" si="41"/>
        <v>50866</v>
      </c>
      <c r="K152" s="58">
        <f t="shared" si="42"/>
        <v>3103</v>
      </c>
      <c r="L152" s="58">
        <f t="shared" si="43"/>
        <v>53969</v>
      </c>
      <c r="M152" s="58">
        <f t="shared" si="44"/>
        <v>68918.41</v>
      </c>
      <c r="N152" s="79"/>
      <c r="O152" s="60"/>
      <c r="P152" s="60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</row>
    <row r="153" spans="1:33" ht="25.5" x14ac:dyDescent="0.2">
      <c r="A153" s="64">
        <v>44668</v>
      </c>
      <c r="B153" s="53" t="s">
        <v>302</v>
      </c>
      <c r="C153" s="54">
        <v>92883</v>
      </c>
      <c r="D153" s="55" t="s">
        <v>303</v>
      </c>
      <c r="E153" s="56" t="s">
        <v>287</v>
      </c>
      <c r="F153" s="56">
        <v>100</v>
      </c>
      <c r="G153" s="57">
        <v>11.63</v>
      </c>
      <c r="H153" s="57">
        <v>1.91</v>
      </c>
      <c r="I153" s="58">
        <f t="shared" si="40"/>
        <v>13.540000000000001</v>
      </c>
      <c r="J153" s="58">
        <f t="shared" si="41"/>
        <v>1163</v>
      </c>
      <c r="K153" s="58">
        <f t="shared" si="42"/>
        <v>191</v>
      </c>
      <c r="L153" s="58">
        <f t="shared" si="43"/>
        <v>1354</v>
      </c>
      <c r="M153" s="58">
        <f t="shared" si="44"/>
        <v>1729.06</v>
      </c>
      <c r="N153" s="79"/>
      <c r="O153" s="60"/>
      <c r="P153" s="60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</row>
    <row r="154" spans="1:33" ht="38.25" x14ac:dyDescent="0.2">
      <c r="A154" s="64">
        <v>44698</v>
      </c>
      <c r="B154" s="53" t="s">
        <v>304</v>
      </c>
      <c r="C154" s="54">
        <v>94213</v>
      </c>
      <c r="D154" s="55" t="s">
        <v>305</v>
      </c>
      <c r="E154" s="56" t="s">
        <v>30</v>
      </c>
      <c r="F154" s="56">
        <v>900</v>
      </c>
      <c r="G154" s="57">
        <v>90.1</v>
      </c>
      <c r="H154" s="57">
        <v>2.97</v>
      </c>
      <c r="I154" s="58">
        <f t="shared" si="40"/>
        <v>93.07</v>
      </c>
      <c r="J154" s="58">
        <f t="shared" si="41"/>
        <v>81090</v>
      </c>
      <c r="K154" s="58">
        <f t="shared" si="42"/>
        <v>2673</v>
      </c>
      <c r="L154" s="58">
        <f t="shared" si="43"/>
        <v>83763</v>
      </c>
      <c r="M154" s="58">
        <f t="shared" si="44"/>
        <v>106965.35</v>
      </c>
      <c r="N154" s="79"/>
      <c r="O154" s="31"/>
      <c r="P154" s="60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</row>
    <row r="155" spans="1:33" ht="51" x14ac:dyDescent="0.2">
      <c r="A155" s="64">
        <v>44729</v>
      </c>
      <c r="B155" s="53" t="s">
        <v>306</v>
      </c>
      <c r="C155" s="54">
        <v>100739</v>
      </c>
      <c r="D155" s="55" t="s">
        <v>307</v>
      </c>
      <c r="E155" s="56" t="s">
        <v>72</v>
      </c>
      <c r="F155" s="56">
        <f>20*9</f>
        <v>180</v>
      </c>
      <c r="G155" s="57">
        <v>8.59</v>
      </c>
      <c r="H155" s="57">
        <v>1.18</v>
      </c>
      <c r="I155" s="58">
        <f t="shared" si="40"/>
        <v>9.77</v>
      </c>
      <c r="J155" s="58">
        <f t="shared" si="41"/>
        <v>1546.2</v>
      </c>
      <c r="K155" s="58">
        <f t="shared" si="42"/>
        <v>212.39999999999998</v>
      </c>
      <c r="L155" s="58">
        <f t="shared" si="43"/>
        <v>1758.6</v>
      </c>
      <c r="M155" s="58">
        <f t="shared" si="44"/>
        <v>2245.73</v>
      </c>
      <c r="N155" s="79"/>
      <c r="O155" s="31"/>
      <c r="P155" s="60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</row>
    <row r="156" spans="1:33" x14ac:dyDescent="0.2">
      <c r="A156" s="80"/>
      <c r="B156" s="81"/>
      <c r="C156" s="82"/>
      <c r="D156" s="83"/>
      <c r="E156" s="80"/>
      <c r="F156" s="84"/>
      <c r="G156" s="85"/>
      <c r="H156" s="83"/>
      <c r="I156" s="16"/>
      <c r="J156" s="16"/>
      <c r="K156" s="16"/>
      <c r="L156" s="16"/>
      <c r="M156" s="16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</row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19">
    <mergeCell ref="F11:F12"/>
    <mergeCell ref="G11:I11"/>
    <mergeCell ref="J11:L11"/>
    <mergeCell ref="M11:M12"/>
    <mergeCell ref="A11:A12"/>
    <mergeCell ref="B11:B12"/>
    <mergeCell ref="C11:C12"/>
    <mergeCell ref="D11:D12"/>
    <mergeCell ref="E11:E12"/>
    <mergeCell ref="L5:M5"/>
    <mergeCell ref="D6:G6"/>
    <mergeCell ref="D7:G7"/>
    <mergeCell ref="D8:G8"/>
    <mergeCell ref="D9:G9"/>
    <mergeCell ref="A3:A9"/>
    <mergeCell ref="B3:C9"/>
    <mergeCell ref="D3:G3"/>
    <mergeCell ref="D4:G4"/>
    <mergeCell ref="D5:G5"/>
  </mergeCells>
  <pageMargins left="0.78749999999999998" right="0.78749999999999998" top="0.78749999999999998" bottom="0.78749999999999998" header="0.51180555555555496" footer="0.51180555555555496"/>
  <pageSetup paperSize="9" firstPageNumber="0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0"/>
  <sheetViews>
    <sheetView zoomScaleNormal="100" workbookViewId="0"/>
  </sheetViews>
  <sheetFormatPr defaultRowHeight="12.75" x14ac:dyDescent="0.2"/>
  <cols>
    <col min="1" max="1" width="14.42578125" customWidth="1"/>
    <col min="2" max="2" width="29.140625" customWidth="1"/>
    <col min="3" max="14" width="14.42578125" customWidth="1"/>
    <col min="15" max="24" width="8.5703125" customWidth="1"/>
    <col min="25" max="1025" width="12.5703125" customWidth="1"/>
  </cols>
  <sheetData>
    <row r="1" spans="1:14" ht="15" x14ac:dyDescent="0.25">
      <c r="A1" s="86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/>
    </row>
    <row r="2" spans="1:14" ht="15" x14ac:dyDescent="0.25">
      <c r="A2" s="89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1"/>
    </row>
    <row r="3" spans="1:14" ht="13.5" customHeight="1" x14ac:dyDescent="0.25">
      <c r="A3" s="89"/>
      <c r="B3" s="5"/>
      <c r="C3" s="5"/>
      <c r="D3" s="13" t="s">
        <v>0</v>
      </c>
      <c r="E3" s="13"/>
      <c r="F3" s="13"/>
      <c r="G3" s="13"/>
      <c r="H3" s="90"/>
      <c r="I3" s="90"/>
      <c r="J3" s="90"/>
      <c r="K3" s="90"/>
      <c r="L3" s="90"/>
      <c r="M3" s="90"/>
      <c r="N3" s="91"/>
    </row>
    <row r="4" spans="1:14" ht="13.5" customHeight="1" x14ac:dyDescent="0.25">
      <c r="A4" s="89"/>
      <c r="B4" s="5"/>
      <c r="C4" s="5"/>
      <c r="D4" s="12" t="s">
        <v>1</v>
      </c>
      <c r="E4" s="12"/>
      <c r="F4" s="12"/>
      <c r="G4" s="12"/>
      <c r="H4" s="90"/>
      <c r="I4" s="90"/>
      <c r="J4" s="90"/>
      <c r="K4" s="90"/>
      <c r="L4" s="90"/>
      <c r="M4" s="90"/>
      <c r="N4" s="91"/>
    </row>
    <row r="5" spans="1:14" ht="15" customHeight="1" x14ac:dyDescent="0.25">
      <c r="A5" s="89"/>
      <c r="B5" s="5"/>
      <c r="C5" s="5"/>
      <c r="D5" s="13" t="s">
        <v>3</v>
      </c>
      <c r="E5" s="13"/>
      <c r="F5" s="13"/>
      <c r="G5" s="13"/>
      <c r="H5" s="90"/>
      <c r="I5" s="90"/>
      <c r="J5" s="90"/>
      <c r="K5" s="90"/>
      <c r="L5" s="90"/>
      <c r="M5" s="90"/>
      <c r="N5" s="91"/>
    </row>
    <row r="6" spans="1:14" ht="13.5" customHeight="1" x14ac:dyDescent="0.25">
      <c r="A6" s="89"/>
      <c r="B6" s="5"/>
      <c r="C6" s="5"/>
      <c r="D6" s="10" t="s">
        <v>4</v>
      </c>
      <c r="E6" s="10"/>
      <c r="F6" s="10"/>
      <c r="G6" s="10"/>
      <c r="H6" s="90"/>
      <c r="I6" s="90"/>
      <c r="J6" s="90"/>
      <c r="K6" s="90"/>
      <c r="L6" s="90"/>
      <c r="M6" s="90"/>
      <c r="N6" s="91"/>
    </row>
    <row r="7" spans="1:14" ht="13.5" customHeight="1" x14ac:dyDescent="0.25">
      <c r="A7" s="89"/>
      <c r="B7" s="5"/>
      <c r="C7" s="5"/>
      <c r="D7" s="12" t="s">
        <v>6</v>
      </c>
      <c r="E7" s="12"/>
      <c r="F7" s="12"/>
      <c r="G7" s="12"/>
      <c r="H7" s="90"/>
      <c r="I7" s="90"/>
      <c r="J7" s="90"/>
      <c r="K7" s="90"/>
      <c r="L7" s="90"/>
      <c r="M7" s="90"/>
      <c r="N7" s="91"/>
    </row>
    <row r="8" spans="1:14" ht="15" customHeight="1" x14ac:dyDescent="0.25">
      <c r="A8" s="89"/>
      <c r="B8" s="5"/>
      <c r="C8" s="5"/>
      <c r="D8" s="4" t="s">
        <v>8</v>
      </c>
      <c r="E8" s="4"/>
      <c r="F8" s="4"/>
      <c r="G8" s="4"/>
      <c r="H8" s="90"/>
      <c r="I8" s="90"/>
      <c r="J8" s="90"/>
      <c r="K8" s="90"/>
      <c r="L8" s="90"/>
      <c r="M8" s="90"/>
      <c r="N8" s="91"/>
    </row>
    <row r="9" spans="1:14" ht="15" customHeight="1" x14ac:dyDescent="0.25">
      <c r="A9" s="89"/>
      <c r="B9" s="5"/>
      <c r="C9" s="5"/>
      <c r="D9" s="4" t="s">
        <v>10</v>
      </c>
      <c r="E9" s="4"/>
      <c r="F9" s="4"/>
      <c r="G9" s="4"/>
      <c r="H9" s="90"/>
      <c r="I9" s="90"/>
      <c r="J9" s="90"/>
      <c r="K9" s="90"/>
      <c r="L9" s="90"/>
      <c r="M9" s="90"/>
      <c r="N9" s="91"/>
    </row>
    <row r="10" spans="1:14" ht="15" x14ac:dyDescent="0.25">
      <c r="A10" s="92"/>
      <c r="B10" s="9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5"/>
    </row>
    <row r="11" spans="1:14" ht="13.5" customHeight="1" x14ac:dyDescent="0.2">
      <c r="A11" s="3" t="s">
        <v>308</v>
      </c>
      <c r="B11" s="3"/>
      <c r="C11" s="3"/>
      <c r="D11" s="3" t="s">
        <v>308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3.5" customHeight="1" x14ac:dyDescent="0.25">
      <c r="A12" s="2"/>
      <c r="B12" s="1" t="s">
        <v>309</v>
      </c>
      <c r="C12" s="96"/>
      <c r="D12" s="96"/>
      <c r="E12" s="141" t="s">
        <v>310</v>
      </c>
      <c r="F12" s="141"/>
      <c r="G12" s="141" t="s">
        <v>311</v>
      </c>
      <c r="H12" s="141"/>
      <c r="I12" s="141" t="s">
        <v>312</v>
      </c>
      <c r="J12" s="141"/>
      <c r="K12" s="141" t="s">
        <v>313</v>
      </c>
      <c r="L12" s="141"/>
      <c r="M12" s="141" t="s">
        <v>314</v>
      </c>
      <c r="N12" s="141"/>
    </row>
    <row r="13" spans="1:14" ht="15" x14ac:dyDescent="0.25">
      <c r="A13" s="2"/>
      <c r="B13" s="2"/>
      <c r="C13" s="97" t="s">
        <v>315</v>
      </c>
      <c r="D13" s="98" t="s">
        <v>316</v>
      </c>
      <c r="E13" s="98" t="s">
        <v>316</v>
      </c>
      <c r="F13" s="98" t="s">
        <v>317</v>
      </c>
      <c r="G13" s="98" t="s">
        <v>316</v>
      </c>
      <c r="H13" s="98" t="s">
        <v>317</v>
      </c>
      <c r="I13" s="99"/>
      <c r="J13" s="98" t="s">
        <v>317</v>
      </c>
      <c r="K13" s="98" t="s">
        <v>316</v>
      </c>
      <c r="L13" s="98" t="s">
        <v>317</v>
      </c>
      <c r="M13" s="98" t="s">
        <v>316</v>
      </c>
      <c r="N13" s="98" t="s">
        <v>317</v>
      </c>
    </row>
    <row r="14" spans="1:14" ht="15" x14ac:dyDescent="0.25">
      <c r="A14" s="100" t="s">
        <v>25</v>
      </c>
      <c r="B14" s="101" t="str">
        <f>VLOOKUP(A14,'Orçamento Global'!$A$14:$M$523,2,FALSE())</f>
        <v>SERVIÇOS PRELIMINARES</v>
      </c>
      <c r="C14" s="102">
        <f>VLOOKUP(A14,'Orçamento Global'!$A$2:$M$317,13,FALSE())</f>
        <v>8014.99</v>
      </c>
      <c r="D14" s="103">
        <f t="shared" ref="D14:D31" si="0">C14/$C$31</f>
        <v>1.5106463286234908E-2</v>
      </c>
      <c r="E14" s="104">
        <v>1</v>
      </c>
      <c r="F14" s="105">
        <f t="shared" ref="F14:F30" si="1">E14*C14</f>
        <v>8014.99</v>
      </c>
      <c r="G14" s="99"/>
      <c r="H14" s="106">
        <f t="shared" ref="H14:H30" si="2">G14*C14</f>
        <v>0</v>
      </c>
      <c r="I14" s="99"/>
      <c r="J14" s="106">
        <f t="shared" ref="J14:J30" si="3">I14*C14</f>
        <v>0</v>
      </c>
      <c r="K14" s="99"/>
      <c r="L14" s="106">
        <f t="shared" ref="L14:L30" si="4">K14*C14</f>
        <v>0</v>
      </c>
      <c r="M14" s="107"/>
      <c r="N14" s="106">
        <f t="shared" ref="N14:N30" si="5">M14*$C14</f>
        <v>0</v>
      </c>
    </row>
    <row r="15" spans="1:14" ht="15" x14ac:dyDescent="0.25">
      <c r="A15" s="108" t="s">
        <v>42</v>
      </c>
      <c r="B15" s="101" t="str">
        <f>VLOOKUP(A15,'Orçamento Global'!$A$14:$M$523,2,FALSE())</f>
        <v>MOVIMENTO DE TERRA PARA FUNDAÇÕES</v>
      </c>
      <c r="C15" s="102">
        <f>VLOOKUP(A15,'Orçamento Global'!$A$2:$M$317,13,FALSE())</f>
        <v>2177.6799999999998</v>
      </c>
      <c r="D15" s="109">
        <f t="shared" si="0"/>
        <v>4.1044396773006614E-3</v>
      </c>
      <c r="E15" s="110">
        <v>1</v>
      </c>
      <c r="F15" s="111">
        <f t="shared" si="1"/>
        <v>2177.6799999999998</v>
      </c>
      <c r="G15" s="99"/>
      <c r="H15" s="112">
        <f t="shared" si="2"/>
        <v>0</v>
      </c>
      <c r="I15" s="99"/>
      <c r="J15" s="112">
        <f t="shared" si="3"/>
        <v>0</v>
      </c>
      <c r="K15" s="99"/>
      <c r="L15" s="112">
        <f t="shared" si="4"/>
        <v>0</v>
      </c>
      <c r="M15" s="99"/>
      <c r="N15" s="112">
        <f t="shared" si="5"/>
        <v>0</v>
      </c>
    </row>
    <row r="16" spans="1:14" ht="15" x14ac:dyDescent="0.25">
      <c r="A16" s="113" t="s">
        <v>47</v>
      </c>
      <c r="B16" s="101" t="str">
        <f>VLOOKUP(A16,'Orçamento Global'!$A$14:$M$523,2,FALSE())</f>
        <v>FUNDAÇÕES</v>
      </c>
      <c r="C16" s="114">
        <f>VLOOKUP(A16,'Orçamento Global'!$A$2:$M$317,13,FALSE())</f>
        <v>18277.93</v>
      </c>
      <c r="D16" s="103">
        <f t="shared" si="0"/>
        <v>3.4449809481156134E-2</v>
      </c>
      <c r="E16" s="115">
        <v>1</v>
      </c>
      <c r="F16" s="105">
        <f t="shared" si="1"/>
        <v>18277.93</v>
      </c>
      <c r="G16" s="99"/>
      <c r="H16" s="106">
        <f t="shared" si="2"/>
        <v>0</v>
      </c>
      <c r="I16" s="99"/>
      <c r="J16" s="106">
        <f t="shared" si="3"/>
        <v>0</v>
      </c>
      <c r="K16" s="99"/>
      <c r="L16" s="106">
        <f t="shared" si="4"/>
        <v>0</v>
      </c>
      <c r="M16" s="99"/>
      <c r="N16" s="106">
        <f t="shared" si="5"/>
        <v>0</v>
      </c>
    </row>
    <row r="17" spans="1:14" ht="15" x14ac:dyDescent="0.25">
      <c r="A17" s="108" t="s">
        <v>77</v>
      </c>
      <c r="B17" s="101" t="str">
        <f>VLOOKUP(A17,'Orçamento Global'!$A$14:$M$523,2,FALSE())</f>
        <v>SUPERESTRUTURA</v>
      </c>
      <c r="C17" s="102">
        <f>VLOOKUP(A17,'Orçamento Global'!$A$2:$M$317,13,FALSE())</f>
        <v>15503.859999999999</v>
      </c>
      <c r="D17" s="109">
        <f t="shared" si="0"/>
        <v>2.922130805963899E-2</v>
      </c>
      <c r="E17" s="116">
        <v>0.3</v>
      </c>
      <c r="F17" s="111">
        <f t="shared" si="1"/>
        <v>4651.1579999999994</v>
      </c>
      <c r="G17" s="117">
        <v>0.7</v>
      </c>
      <c r="H17" s="112">
        <f t="shared" si="2"/>
        <v>10852.701999999999</v>
      </c>
      <c r="I17" s="99"/>
      <c r="J17" s="112">
        <f t="shared" si="3"/>
        <v>0</v>
      </c>
      <c r="K17" s="99"/>
      <c r="L17" s="112">
        <f t="shared" si="4"/>
        <v>0</v>
      </c>
      <c r="M17" s="99"/>
      <c r="N17" s="112">
        <f t="shared" si="5"/>
        <v>0</v>
      </c>
    </row>
    <row r="18" spans="1:14" ht="15" x14ac:dyDescent="0.25">
      <c r="A18" s="113" t="s">
        <v>87</v>
      </c>
      <c r="B18" s="101" t="str">
        <f>VLOOKUP(A18,'Orçamento Global'!$A$14:$M$523,2,FALSE())</f>
        <v>VEDAÇÃO VERTICAL</v>
      </c>
      <c r="C18" s="114">
        <f>VLOOKUP(A18,'Orçamento Global'!$A$2:$M$317,13,FALSE())</f>
        <v>30761.49</v>
      </c>
      <c r="D18" s="103">
        <f t="shared" si="0"/>
        <v>5.7978527648179505E-2</v>
      </c>
      <c r="E18" s="115"/>
      <c r="F18" s="105">
        <f t="shared" si="1"/>
        <v>0</v>
      </c>
      <c r="G18" s="117">
        <v>0.8</v>
      </c>
      <c r="H18" s="106">
        <f t="shared" si="2"/>
        <v>24609.192000000003</v>
      </c>
      <c r="I18" s="117">
        <v>0.2</v>
      </c>
      <c r="J18" s="106">
        <f t="shared" si="3"/>
        <v>6152.2980000000007</v>
      </c>
      <c r="K18" s="99"/>
      <c r="L18" s="106">
        <f t="shared" si="4"/>
        <v>0</v>
      </c>
      <c r="M18" s="99"/>
      <c r="N18" s="106">
        <f t="shared" si="5"/>
        <v>0</v>
      </c>
    </row>
    <row r="19" spans="1:14" ht="15" x14ac:dyDescent="0.25">
      <c r="A19" s="108" t="s">
        <v>97</v>
      </c>
      <c r="B19" s="101" t="str">
        <f>VLOOKUP(A19,'Orçamento Global'!$A$14:$M$523,2,FALSE())</f>
        <v>ESQUADRIAS</v>
      </c>
      <c r="C19" s="102">
        <f>VLOOKUP(A19,'Orçamento Global'!$A$2:$M$317,13,FALSE())</f>
        <v>17832.890000000003</v>
      </c>
      <c r="D19" s="109">
        <f t="shared" si="0"/>
        <v>3.361100863163468E-2</v>
      </c>
      <c r="E19" s="116"/>
      <c r="F19" s="111">
        <f t="shared" si="1"/>
        <v>0</v>
      </c>
      <c r="G19" s="99"/>
      <c r="H19" s="112">
        <f t="shared" si="2"/>
        <v>0</v>
      </c>
      <c r="I19" s="117">
        <v>0.5</v>
      </c>
      <c r="J19" s="112">
        <f t="shared" si="3"/>
        <v>8916.4450000000015</v>
      </c>
      <c r="K19" s="117">
        <v>0.5</v>
      </c>
      <c r="L19" s="112">
        <f t="shared" si="4"/>
        <v>8916.4450000000015</v>
      </c>
      <c r="M19" s="99"/>
      <c r="N19" s="112">
        <f t="shared" si="5"/>
        <v>0</v>
      </c>
    </row>
    <row r="20" spans="1:14" ht="15" x14ac:dyDescent="0.25">
      <c r="A20" s="113" t="s">
        <v>120</v>
      </c>
      <c r="B20" s="101" t="str">
        <f>VLOOKUP(A20,'Orçamento Global'!$A$14:$M$523,2,FALSE())</f>
        <v>COBERTURA E FORRO</v>
      </c>
      <c r="C20" s="114">
        <f>VLOOKUP(A20,'Orçamento Global'!$A$2:$M$317,13,FALSE())</f>
        <v>34021.18</v>
      </c>
      <c r="D20" s="103">
        <f t="shared" si="0"/>
        <v>6.4122314141925235E-2</v>
      </c>
      <c r="E20" s="115"/>
      <c r="F20" s="105">
        <f t="shared" si="1"/>
        <v>0</v>
      </c>
      <c r="G20" s="99"/>
      <c r="H20" s="106">
        <f t="shared" si="2"/>
        <v>0</v>
      </c>
      <c r="I20" s="117">
        <v>0.8</v>
      </c>
      <c r="J20" s="106">
        <f t="shared" si="3"/>
        <v>27216.944000000003</v>
      </c>
      <c r="K20" s="117">
        <v>0.2</v>
      </c>
      <c r="L20" s="106">
        <f t="shared" si="4"/>
        <v>6804.2360000000008</v>
      </c>
      <c r="M20" s="99"/>
      <c r="N20" s="106">
        <f t="shared" si="5"/>
        <v>0</v>
      </c>
    </row>
    <row r="21" spans="1:14" ht="15.75" customHeight="1" x14ac:dyDescent="0.25">
      <c r="A21" s="108" t="s">
        <v>131</v>
      </c>
      <c r="B21" s="101" t="str">
        <f>VLOOKUP(A21,'Orçamento Global'!$A$14:$M$523,2,FALSE())</f>
        <v>REVESTIMENTO INTERNO E EXTERNO</v>
      </c>
      <c r="C21" s="102">
        <f>VLOOKUP(A21,'Orçamento Global'!$A$2:$M$317,13,FALSE())</f>
        <v>18111.349999999999</v>
      </c>
      <c r="D21" s="109">
        <f t="shared" si="0"/>
        <v>3.4135843443242046E-2</v>
      </c>
      <c r="E21" s="116"/>
      <c r="F21" s="111">
        <f t="shared" si="1"/>
        <v>0</v>
      </c>
      <c r="G21" s="117">
        <v>1</v>
      </c>
      <c r="H21" s="112">
        <f t="shared" si="2"/>
        <v>18111.349999999999</v>
      </c>
      <c r="I21" s="99"/>
      <c r="J21" s="112">
        <f t="shared" si="3"/>
        <v>0</v>
      </c>
      <c r="K21" s="99"/>
      <c r="L21" s="112">
        <f t="shared" si="4"/>
        <v>0</v>
      </c>
      <c r="M21" s="99"/>
      <c r="N21" s="112">
        <f t="shared" si="5"/>
        <v>0</v>
      </c>
    </row>
    <row r="22" spans="1:14" ht="15.75" customHeight="1" x14ac:dyDescent="0.25">
      <c r="A22" s="113" t="s">
        <v>140</v>
      </c>
      <c r="B22" s="101" t="str">
        <f>VLOOKUP(A22,'Orçamento Global'!$A$14:$M$523,2,FALSE())</f>
        <v>PISOS INTERNOS</v>
      </c>
      <c r="C22" s="114">
        <f>VLOOKUP(A22,'Orçamento Global'!$A$2:$M$317,13,FALSE())</f>
        <v>18095.88</v>
      </c>
      <c r="D22" s="103">
        <f t="shared" si="0"/>
        <v>3.4106685953708311E-2</v>
      </c>
      <c r="E22" s="115"/>
      <c r="F22" s="105">
        <f t="shared" si="1"/>
        <v>0</v>
      </c>
      <c r="G22" s="99"/>
      <c r="H22" s="106">
        <f t="shared" si="2"/>
        <v>0</v>
      </c>
      <c r="I22" s="117">
        <v>0.5</v>
      </c>
      <c r="J22" s="106">
        <f t="shared" si="3"/>
        <v>9047.94</v>
      </c>
      <c r="K22" s="117">
        <v>0.5</v>
      </c>
      <c r="L22" s="106">
        <f t="shared" si="4"/>
        <v>9047.94</v>
      </c>
      <c r="M22" s="99"/>
      <c r="N22" s="106">
        <f t="shared" si="5"/>
        <v>0</v>
      </c>
    </row>
    <row r="23" spans="1:14" ht="15.75" customHeight="1" x14ac:dyDescent="0.25">
      <c r="A23" s="108" t="s">
        <v>151</v>
      </c>
      <c r="B23" s="101" t="str">
        <f>VLOOKUP(A23,'Orçamento Global'!$A$14:$M$523,2,FALSE())</f>
        <v>PINTURA</v>
      </c>
      <c r="C23" s="102">
        <f>VLOOKUP(A23,'Orçamento Global'!$A$2:$M$317,13,FALSE())</f>
        <v>7181.99</v>
      </c>
      <c r="D23" s="109">
        <f t="shared" si="0"/>
        <v>1.3536444619033366E-2</v>
      </c>
      <c r="E23" s="116"/>
      <c r="F23" s="111">
        <f t="shared" si="1"/>
        <v>0</v>
      </c>
      <c r="G23" s="99"/>
      <c r="H23" s="112">
        <f t="shared" si="2"/>
        <v>0</v>
      </c>
      <c r="I23" s="117">
        <v>0.8</v>
      </c>
      <c r="J23" s="112">
        <f t="shared" si="3"/>
        <v>5745.5920000000006</v>
      </c>
      <c r="K23" s="117">
        <v>0.2</v>
      </c>
      <c r="L23" s="112">
        <f t="shared" si="4"/>
        <v>1436.3980000000001</v>
      </c>
      <c r="M23" s="99"/>
      <c r="N23" s="112">
        <f t="shared" si="5"/>
        <v>0</v>
      </c>
    </row>
    <row r="24" spans="1:14" ht="15.75" customHeight="1" x14ac:dyDescent="0.25">
      <c r="A24" s="113" t="s">
        <v>163</v>
      </c>
      <c r="B24" s="101" t="str">
        <f>VLOOKUP(A24,'Orçamento Global'!$A$14:$M$523,2,FALSE())</f>
        <v>INSTALAÇÕES HIDRÁULICAS</v>
      </c>
      <c r="C24" s="114">
        <f>VLOOKUP(A24,'Orçamento Global'!$A$2:$M$317,13,FALSE())</f>
        <v>3098.6600000000003</v>
      </c>
      <c r="D24" s="103">
        <f t="shared" si="0"/>
        <v>5.8402809643586162E-3</v>
      </c>
      <c r="E24" s="115"/>
      <c r="F24" s="105">
        <f t="shared" si="1"/>
        <v>0</v>
      </c>
      <c r="G24" s="99"/>
      <c r="H24" s="106">
        <f t="shared" si="2"/>
        <v>0</v>
      </c>
      <c r="I24" s="99"/>
      <c r="J24" s="106">
        <f t="shared" si="3"/>
        <v>0</v>
      </c>
      <c r="K24" s="99"/>
      <c r="L24" s="106">
        <f t="shared" si="4"/>
        <v>0</v>
      </c>
      <c r="M24" s="117">
        <v>1</v>
      </c>
      <c r="N24" s="106">
        <f t="shared" si="5"/>
        <v>3098.6600000000003</v>
      </c>
    </row>
    <row r="25" spans="1:14" ht="15.75" customHeight="1" x14ac:dyDescent="0.25">
      <c r="A25" s="108" t="s">
        <v>184</v>
      </c>
      <c r="B25" s="101" t="str">
        <f>VLOOKUP(A25,'Orçamento Global'!$A$14:$M$523,2,FALSE())</f>
        <v>INSTALAÇÕES SANITÁRIAS</v>
      </c>
      <c r="C25" s="102">
        <f>VLOOKUP(A25,'Orçamento Global'!$A$2:$M$317,13,FALSE())</f>
        <v>8764.8799999999992</v>
      </c>
      <c r="D25" s="109">
        <f t="shared" si="0"/>
        <v>1.6519838194215413E-2</v>
      </c>
      <c r="E25" s="116"/>
      <c r="F25" s="111">
        <f t="shared" si="1"/>
        <v>0</v>
      </c>
      <c r="G25" s="99"/>
      <c r="H25" s="112">
        <f t="shared" si="2"/>
        <v>0</v>
      </c>
      <c r="I25" s="117">
        <v>0.5</v>
      </c>
      <c r="J25" s="112">
        <f t="shared" si="3"/>
        <v>4382.4399999999996</v>
      </c>
      <c r="K25" s="117">
        <v>0.5</v>
      </c>
      <c r="L25" s="112">
        <f t="shared" si="4"/>
        <v>4382.4399999999996</v>
      </c>
      <c r="M25" s="99"/>
      <c r="N25" s="112">
        <f t="shared" si="5"/>
        <v>0</v>
      </c>
    </row>
    <row r="26" spans="1:14" ht="15.75" customHeight="1" x14ac:dyDescent="0.25">
      <c r="A26" s="108" t="s">
        <v>201</v>
      </c>
      <c r="B26" s="101" t="str">
        <f>VLOOKUP(A26,'Orçamento Global'!$A$14:$M$523,2,FALSE())</f>
        <v>LOUÇAS E METAIS</v>
      </c>
      <c r="C26" s="102">
        <f>VLOOKUP(A26,'Orçamento Global'!$A$2:$M$317,13,FALSE())</f>
        <v>6267.920000000001</v>
      </c>
      <c r="D26" s="109">
        <f t="shared" si="0"/>
        <v>1.1813627136285575E-2</v>
      </c>
      <c r="E26" s="116"/>
      <c r="F26" s="111">
        <f t="shared" si="1"/>
        <v>0</v>
      </c>
      <c r="G26" s="117">
        <v>0.5</v>
      </c>
      <c r="H26" s="112">
        <f t="shared" si="2"/>
        <v>3133.9600000000005</v>
      </c>
      <c r="I26" s="117">
        <v>0.5</v>
      </c>
      <c r="J26" s="112">
        <f t="shared" si="3"/>
        <v>3133.9600000000005</v>
      </c>
      <c r="K26" s="99"/>
      <c r="L26" s="112">
        <f t="shared" si="4"/>
        <v>0</v>
      </c>
      <c r="M26" s="99"/>
      <c r="N26" s="112">
        <f t="shared" si="5"/>
        <v>0</v>
      </c>
    </row>
    <row r="27" spans="1:14" ht="15.75" customHeight="1" x14ac:dyDescent="0.25">
      <c r="A27" s="108" t="s">
        <v>220</v>
      </c>
      <c r="B27" s="101" t="str">
        <f>VLOOKUP(A27,'Orçamento Global'!$A$14:$M$523,2,FALSE())</f>
        <v>INSTALAÇÕES ELÉTRICAS 127V</v>
      </c>
      <c r="C27" s="102">
        <f>VLOOKUP(A27,'Orçamento Global'!$A$2:$M$317,13,FALSE())</f>
        <v>21654.950000000008</v>
      </c>
      <c r="D27" s="109">
        <f t="shared" si="0"/>
        <v>4.0814736779491018E-2</v>
      </c>
      <c r="E27" s="116"/>
      <c r="F27" s="111">
        <f t="shared" si="1"/>
        <v>0</v>
      </c>
      <c r="G27" s="99"/>
      <c r="H27" s="112">
        <f t="shared" si="2"/>
        <v>0</v>
      </c>
      <c r="I27" s="99"/>
      <c r="J27" s="112">
        <f t="shared" si="3"/>
        <v>0</v>
      </c>
      <c r="K27" s="117">
        <v>1</v>
      </c>
      <c r="L27" s="112">
        <f t="shared" si="4"/>
        <v>21654.950000000008</v>
      </c>
      <c r="M27" s="99"/>
      <c r="N27" s="112">
        <f t="shared" si="5"/>
        <v>0</v>
      </c>
    </row>
    <row r="28" spans="1:14" ht="15.75" customHeight="1" x14ac:dyDescent="0.25">
      <c r="A28" s="108" t="s">
        <v>267</v>
      </c>
      <c r="B28" s="101" t="str">
        <f>VLOOKUP(A28,'Orçamento Global'!$A$14:$M$523,2,FALSE())</f>
        <v>SERVIÇOS FINAIS</v>
      </c>
      <c r="C28" s="102">
        <f>VLOOKUP(A28,'Orçamento Global'!$A$2:$M$317,13,FALSE())</f>
        <v>634.66999999999996</v>
      </c>
      <c r="D28" s="109">
        <f t="shared" si="0"/>
        <v>1.1962109814079255E-3</v>
      </c>
      <c r="E28" s="116"/>
      <c r="F28" s="111">
        <f t="shared" si="1"/>
        <v>0</v>
      </c>
      <c r="G28" s="99"/>
      <c r="H28" s="112">
        <f t="shared" si="2"/>
        <v>0</v>
      </c>
      <c r="I28" s="99"/>
      <c r="J28" s="112">
        <f t="shared" si="3"/>
        <v>0</v>
      </c>
      <c r="K28" s="99"/>
      <c r="L28" s="112">
        <f t="shared" si="4"/>
        <v>0</v>
      </c>
      <c r="M28" s="117">
        <v>1</v>
      </c>
      <c r="N28" s="112">
        <f t="shared" si="5"/>
        <v>634.66999999999996</v>
      </c>
    </row>
    <row r="29" spans="1:14" ht="15.75" customHeight="1" x14ac:dyDescent="0.25">
      <c r="A29" s="108" t="s">
        <v>273</v>
      </c>
      <c r="B29" s="101" t="str">
        <f>VLOOKUP(A29,'Orçamento Global'!$A$14:$M$523,2,FALSE())</f>
        <v>GAPÃO: FUNDAÇÃO E ESTRUTURA</v>
      </c>
      <c r="C29" s="102">
        <f>VLOOKUP(A29,'Orçamento Global'!$A$2:$M$317,13,FALSE())</f>
        <v>72676.820000000007</v>
      </c>
      <c r="D29" s="109">
        <f t="shared" si="0"/>
        <v>0.13697954870689832</v>
      </c>
      <c r="E29" s="116">
        <v>0.3</v>
      </c>
      <c r="F29" s="111">
        <f t="shared" si="1"/>
        <v>21803.046000000002</v>
      </c>
      <c r="G29" s="117">
        <v>0.3</v>
      </c>
      <c r="H29" s="112">
        <f t="shared" si="2"/>
        <v>21803.046000000002</v>
      </c>
      <c r="I29" s="117">
        <v>0.4</v>
      </c>
      <c r="J29" s="112">
        <f t="shared" si="3"/>
        <v>29070.728000000003</v>
      </c>
      <c r="K29" s="117"/>
      <c r="L29" s="112">
        <f t="shared" si="4"/>
        <v>0</v>
      </c>
      <c r="M29" s="117"/>
      <c r="N29" s="112">
        <f t="shared" si="5"/>
        <v>0</v>
      </c>
    </row>
    <row r="30" spans="1:14" ht="15.75" customHeight="1" x14ac:dyDescent="0.25">
      <c r="A30" s="108" t="s">
        <v>293</v>
      </c>
      <c r="B30" s="101" t="str">
        <f>VLOOKUP(A30,'Orçamento Global'!$A$14:$M$523,2,FALSE())</f>
        <v>GAPÃO: EST. METÁLICA E COBERTURA</v>
      </c>
      <c r="C30" s="102">
        <f>VLOOKUP(A30,'Orçamento Global'!$A$2:$M$317,13,FALSE())</f>
        <v>247489.80000000002</v>
      </c>
      <c r="D30" s="109">
        <f t="shared" si="0"/>
        <v>0.46646291229528924</v>
      </c>
      <c r="E30" s="118"/>
      <c r="F30" s="111">
        <f t="shared" si="1"/>
        <v>0</v>
      </c>
      <c r="G30" s="119"/>
      <c r="H30" s="112">
        <f t="shared" si="2"/>
        <v>0</v>
      </c>
      <c r="I30" s="120">
        <v>0.2</v>
      </c>
      <c r="J30" s="112">
        <f t="shared" si="3"/>
        <v>49497.960000000006</v>
      </c>
      <c r="K30" s="120">
        <v>0.3</v>
      </c>
      <c r="L30" s="112">
        <f t="shared" si="4"/>
        <v>74246.94</v>
      </c>
      <c r="M30" s="120">
        <v>0.5</v>
      </c>
      <c r="N30" s="112">
        <f t="shared" si="5"/>
        <v>123744.90000000001</v>
      </c>
    </row>
    <row r="31" spans="1:14" ht="15.75" customHeight="1" x14ac:dyDescent="0.25">
      <c r="A31" s="121"/>
      <c r="B31" s="122" t="s">
        <v>22</v>
      </c>
      <c r="C31" s="123">
        <f>SUM(C14:C30)</f>
        <v>530566.94000000006</v>
      </c>
      <c r="D31" s="124">
        <f t="shared" si="0"/>
        <v>1</v>
      </c>
      <c r="E31" s="125"/>
      <c r="F31" s="126"/>
      <c r="G31" s="125"/>
      <c r="H31" s="126"/>
      <c r="I31" s="107"/>
      <c r="J31" s="126"/>
      <c r="K31" s="107"/>
      <c r="L31" s="126"/>
      <c r="M31" s="107"/>
      <c r="N31" s="126"/>
    </row>
    <row r="32" spans="1:14" ht="15.75" customHeight="1" x14ac:dyDescent="0.25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</row>
    <row r="33" spans="1:14" ht="15.75" customHeight="1" x14ac:dyDescent="0.25">
      <c r="A33" s="127"/>
      <c r="B33" s="128" t="s">
        <v>318</v>
      </c>
      <c r="C33" s="127"/>
      <c r="D33" s="127"/>
      <c r="E33" s="142">
        <f>SUM(F14:F30)</f>
        <v>54924.804000000004</v>
      </c>
      <c r="F33" s="142"/>
      <c r="G33" s="142">
        <f>SUM(H14:H30)</f>
        <v>78510.25</v>
      </c>
      <c r="H33" s="142"/>
      <c r="I33" s="142">
        <f>SUM(J14:J30)</f>
        <v>143164.30700000003</v>
      </c>
      <c r="J33" s="142"/>
      <c r="K33" s="142">
        <f>SUM(L14:L30)</f>
        <v>126489.34900000002</v>
      </c>
      <c r="L33" s="142"/>
      <c r="M33" s="142">
        <f>SUM(N14:N30)</f>
        <v>127478.23000000001</v>
      </c>
      <c r="N33" s="142"/>
    </row>
    <row r="34" spans="1:14" ht="15.75" customHeight="1" x14ac:dyDescent="0.25">
      <c r="A34" s="129"/>
      <c r="B34" s="130" t="s">
        <v>319</v>
      </c>
      <c r="C34" s="131"/>
      <c r="D34" s="131"/>
      <c r="E34" s="143">
        <f>E33/$C$31</f>
        <v>0.1035209694746529</v>
      </c>
      <c r="F34" s="143"/>
      <c r="G34" s="143">
        <f>G33/$C$31</f>
        <v>0.14797425938374523</v>
      </c>
      <c r="H34" s="143"/>
      <c r="I34" s="143">
        <f>I33/$C$31</f>
        <v>0.26983269443814201</v>
      </c>
      <c r="J34" s="143"/>
      <c r="K34" s="143">
        <f>K33/$C$31</f>
        <v>0.23840412861004873</v>
      </c>
      <c r="L34" s="143"/>
      <c r="M34" s="143">
        <f>M33/$C$31</f>
        <v>0.24026794809341118</v>
      </c>
      <c r="N34" s="143"/>
    </row>
    <row r="35" spans="1:14" ht="15.75" customHeight="1" x14ac:dyDescent="0.25">
      <c r="A35" s="127"/>
      <c r="B35" s="128" t="s">
        <v>320</v>
      </c>
      <c r="C35" s="127"/>
      <c r="D35" s="127"/>
      <c r="E35" s="142">
        <f>E33</f>
        <v>54924.804000000004</v>
      </c>
      <c r="F35" s="142"/>
      <c r="G35" s="142">
        <f>G33+E35</f>
        <v>133435.054</v>
      </c>
      <c r="H35" s="142"/>
      <c r="I35" s="142">
        <f>I33+G35</f>
        <v>276599.36100000003</v>
      </c>
      <c r="J35" s="142"/>
      <c r="K35" s="142">
        <f>K33+I35</f>
        <v>403088.71000000008</v>
      </c>
      <c r="L35" s="142"/>
      <c r="M35" s="142">
        <f>M33+K35</f>
        <v>530566.94000000006</v>
      </c>
      <c r="N35" s="142"/>
    </row>
    <row r="36" spans="1:14" ht="15.75" customHeight="1" x14ac:dyDescent="0.25">
      <c r="A36" s="129"/>
      <c r="B36" s="130" t="s">
        <v>321</v>
      </c>
      <c r="C36" s="129"/>
      <c r="D36" s="131"/>
      <c r="E36" s="143">
        <f>E34</f>
        <v>0.1035209694746529</v>
      </c>
      <c r="F36" s="143"/>
      <c r="G36" s="143">
        <f>G34+E36</f>
        <v>0.25149522885839815</v>
      </c>
      <c r="H36" s="143"/>
      <c r="I36" s="143">
        <f>I34+G36</f>
        <v>0.52132792329654021</v>
      </c>
      <c r="J36" s="143"/>
      <c r="K36" s="143">
        <f>K34+I36</f>
        <v>0.75973205190658888</v>
      </c>
      <c r="L36" s="143"/>
      <c r="M36" s="143">
        <f>M34+K36</f>
        <v>1</v>
      </c>
      <c r="N36" s="143"/>
    </row>
    <row r="38" spans="1:14" ht="15.75" customHeight="1" x14ac:dyDescent="0.2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ht="15.75" customHeight="1" x14ac:dyDescent="0.2"/>
    <row r="40" spans="1:14" ht="15.75" customHeight="1" x14ac:dyDescent="0.2"/>
    <row r="41" spans="1:14" ht="15.75" customHeight="1" x14ac:dyDescent="0.2"/>
    <row r="42" spans="1:14" ht="15.75" customHeight="1" x14ac:dyDescent="0.2"/>
    <row r="43" spans="1:14" ht="15.75" customHeight="1" x14ac:dyDescent="0.2"/>
    <row r="44" spans="1:14" ht="15.75" customHeight="1" x14ac:dyDescent="0.2"/>
    <row r="45" spans="1:14" ht="15.75" customHeight="1" x14ac:dyDescent="0.2"/>
    <row r="46" spans="1:14" ht="15.75" customHeight="1" x14ac:dyDescent="0.2"/>
    <row r="47" spans="1:14" ht="15.75" customHeight="1" x14ac:dyDescent="0.2"/>
    <row r="48" spans="1:1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8">
    <mergeCell ref="A38:N38"/>
    <mergeCell ref="E36:F36"/>
    <mergeCell ref="G36:H36"/>
    <mergeCell ref="I36:J36"/>
    <mergeCell ref="K36:L36"/>
    <mergeCell ref="M36:N36"/>
    <mergeCell ref="E35:F35"/>
    <mergeCell ref="G35:H35"/>
    <mergeCell ref="I35:J35"/>
    <mergeCell ref="K35:L35"/>
    <mergeCell ref="M35:N35"/>
    <mergeCell ref="E34:F34"/>
    <mergeCell ref="G34:H34"/>
    <mergeCell ref="I34:J34"/>
    <mergeCell ref="K34:L34"/>
    <mergeCell ref="M34:N34"/>
    <mergeCell ref="E33:F33"/>
    <mergeCell ref="G33:H33"/>
    <mergeCell ref="I33:J33"/>
    <mergeCell ref="K33:L33"/>
    <mergeCell ref="M33:N33"/>
    <mergeCell ref="A11:C11"/>
    <mergeCell ref="D11:N11"/>
    <mergeCell ref="A12:A13"/>
    <mergeCell ref="B12:B13"/>
    <mergeCell ref="E12:F12"/>
    <mergeCell ref="G12:H12"/>
    <mergeCell ref="I12:J12"/>
    <mergeCell ref="K12:L12"/>
    <mergeCell ref="M12:N12"/>
    <mergeCell ref="B3:C9"/>
    <mergeCell ref="D3:G3"/>
    <mergeCell ref="D4:G4"/>
    <mergeCell ref="D5:G5"/>
    <mergeCell ref="D6:G6"/>
    <mergeCell ref="D7:G7"/>
    <mergeCell ref="D8:G8"/>
    <mergeCell ref="D9:G9"/>
  </mergeCells>
  <printOptions horizontalCentered="1" gridLines="1"/>
  <pageMargins left="0.7" right="0.7" top="0.75" bottom="0.75" header="0.51180555555555496" footer="0.51180555555555496"/>
  <pageSetup paperSize="9" firstPageNumber="0" fitToHeight="0" pageOrder="overThenDown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0"/>
  <sheetViews>
    <sheetView zoomScaleNormal="100" workbookViewId="0">
      <selection sqref="A1:K1"/>
    </sheetView>
  </sheetViews>
  <sheetFormatPr defaultRowHeight="12.75" x14ac:dyDescent="0.2"/>
  <cols>
    <col min="1" max="11" width="14.42578125" customWidth="1"/>
    <col min="12" max="26" width="8.5703125" customWidth="1"/>
    <col min="27" max="1025" width="12.5703125" customWidth="1"/>
  </cols>
  <sheetData>
    <row r="1" spans="1:11" ht="15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5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ht="15" customHeight="1" x14ac:dyDescent="0.25">
      <c r="A3" s="146"/>
      <c r="B3" s="90"/>
      <c r="C3" s="5"/>
      <c r="D3" s="5"/>
      <c r="E3" s="13" t="s">
        <v>0</v>
      </c>
      <c r="F3" s="13"/>
      <c r="G3" s="13"/>
      <c r="H3" s="13"/>
      <c r="I3" s="90"/>
      <c r="J3" s="90"/>
      <c r="K3" s="90"/>
    </row>
    <row r="4" spans="1:11" ht="15" customHeight="1" x14ac:dyDescent="0.25">
      <c r="A4" s="146"/>
      <c r="B4" s="90"/>
      <c r="C4" s="5"/>
      <c r="D4" s="5"/>
      <c r="E4" s="12" t="s">
        <v>1</v>
      </c>
      <c r="F4" s="12"/>
      <c r="G4" s="12"/>
      <c r="H4" s="12"/>
      <c r="I4" s="90"/>
      <c r="J4" s="90"/>
      <c r="K4" s="90"/>
    </row>
    <row r="5" spans="1:11" ht="15" customHeight="1" x14ac:dyDescent="0.25">
      <c r="A5" s="146"/>
      <c r="B5" s="90"/>
      <c r="C5" s="5"/>
      <c r="D5" s="5"/>
      <c r="E5" s="13" t="s">
        <v>3</v>
      </c>
      <c r="F5" s="13"/>
      <c r="G5" s="13"/>
      <c r="H5" s="13"/>
      <c r="I5" s="90"/>
      <c r="J5" s="90"/>
      <c r="K5" s="90"/>
    </row>
    <row r="6" spans="1:11" ht="15" customHeight="1" x14ac:dyDescent="0.25">
      <c r="A6" s="146"/>
      <c r="B6" s="90"/>
      <c r="C6" s="5"/>
      <c r="D6" s="5"/>
      <c r="E6" s="10" t="s">
        <v>4</v>
      </c>
      <c r="F6" s="10"/>
      <c r="G6" s="10"/>
      <c r="H6" s="10"/>
      <c r="I6" s="90"/>
      <c r="J6" s="90"/>
      <c r="K6" s="90"/>
    </row>
    <row r="7" spans="1:11" ht="15" customHeight="1" x14ac:dyDescent="0.25">
      <c r="A7" s="146"/>
      <c r="B7" s="90"/>
      <c r="C7" s="5"/>
      <c r="D7" s="5"/>
      <c r="E7" s="12" t="s">
        <v>6</v>
      </c>
      <c r="F7" s="12"/>
      <c r="G7" s="12"/>
      <c r="H7" s="12"/>
      <c r="I7" s="90"/>
      <c r="J7" s="90"/>
      <c r="K7" s="90"/>
    </row>
    <row r="8" spans="1:11" ht="15" customHeight="1" x14ac:dyDescent="0.25">
      <c r="A8" s="146"/>
      <c r="B8" s="90"/>
      <c r="C8" s="5"/>
      <c r="D8" s="5"/>
      <c r="E8" s="4" t="s">
        <v>8</v>
      </c>
      <c r="F8" s="4"/>
      <c r="G8" s="4"/>
      <c r="H8" s="4"/>
      <c r="I8" s="90"/>
      <c r="J8" s="90"/>
      <c r="K8" s="90"/>
    </row>
    <row r="9" spans="1:11" ht="15" customHeight="1" x14ac:dyDescent="0.25">
      <c r="A9" s="146"/>
      <c r="B9" s="90"/>
      <c r="C9" s="5"/>
      <c r="D9" s="5"/>
      <c r="E9" s="4" t="s">
        <v>10</v>
      </c>
      <c r="F9" s="4"/>
      <c r="G9" s="4"/>
      <c r="H9" s="4"/>
      <c r="I9" s="90"/>
      <c r="J9" s="90"/>
      <c r="K9" s="90"/>
    </row>
    <row r="10" spans="1:11" ht="15" x14ac:dyDescent="0.25">
      <c r="A10" s="90"/>
      <c r="B10" s="90"/>
      <c r="C10" s="90"/>
      <c r="D10" s="90"/>
      <c r="E10" s="147"/>
      <c r="F10" s="147"/>
      <c r="G10" s="147"/>
      <c r="H10" s="147"/>
      <c r="I10" s="90"/>
      <c r="J10" s="90"/>
      <c r="K10" s="90"/>
    </row>
    <row r="11" spans="1:11" ht="15" x14ac:dyDescent="0.25">
      <c r="A11" s="148" t="s">
        <v>322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">
      <c r="A12" s="149" t="s">
        <v>323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 x14ac:dyDescent="0.2">
      <c r="A13" s="149" t="s">
        <v>11</v>
      </c>
      <c r="B13" s="149" t="s">
        <v>324</v>
      </c>
      <c r="C13" s="149"/>
      <c r="D13" s="149"/>
      <c r="E13" s="149" t="s">
        <v>325</v>
      </c>
      <c r="F13" s="149" t="s">
        <v>326</v>
      </c>
      <c r="G13" s="149" t="s">
        <v>327</v>
      </c>
      <c r="H13" s="149" t="s">
        <v>328</v>
      </c>
      <c r="I13" s="149" t="s">
        <v>329</v>
      </c>
      <c r="J13" s="149"/>
      <c r="K13" s="149"/>
    </row>
    <row r="14" spans="1:11" x14ac:dyDescent="0.2">
      <c r="A14" s="149"/>
      <c r="B14" s="149"/>
      <c r="C14" s="149"/>
      <c r="D14" s="149"/>
      <c r="E14" s="149"/>
      <c r="F14" s="149"/>
      <c r="G14" s="149"/>
      <c r="H14" s="149"/>
      <c r="I14" s="133" t="s">
        <v>330</v>
      </c>
      <c r="J14" s="133" t="s">
        <v>331</v>
      </c>
      <c r="K14" s="133" t="s">
        <v>332</v>
      </c>
    </row>
    <row r="15" spans="1:11" ht="15" x14ac:dyDescent="0.25">
      <c r="A15" s="134">
        <v>1</v>
      </c>
      <c r="B15" s="1" t="s">
        <v>333</v>
      </c>
      <c r="C15" s="1"/>
      <c r="D15" s="1"/>
      <c r="E15" s="96"/>
      <c r="F15" s="135">
        <v>3.1E-2</v>
      </c>
      <c r="G15" s="96"/>
      <c r="H15" s="134" t="str">
        <f>IF(AND(F15&gt;=I15,F15&lt;=K15),"OK","DIFERE")</f>
        <v>OK</v>
      </c>
      <c r="I15" s="136">
        <v>0.03</v>
      </c>
      <c r="J15" s="136">
        <v>0.04</v>
      </c>
      <c r="K15" s="136">
        <v>5.5E-2</v>
      </c>
    </row>
    <row r="16" spans="1:11" ht="15" x14ac:dyDescent="0.25">
      <c r="A16" s="134">
        <v>2</v>
      </c>
      <c r="B16" s="1" t="s">
        <v>334</v>
      </c>
      <c r="C16" s="1"/>
      <c r="D16" s="1"/>
      <c r="E16" s="96"/>
      <c r="F16" s="137">
        <v>0.01</v>
      </c>
      <c r="G16" s="96"/>
      <c r="H16" s="134" t="str">
        <f>IF(AND(F16&gt;=I16,F16&lt;=K16),"OK","DIFERE")</f>
        <v>OK</v>
      </c>
      <c r="I16" s="136">
        <v>8.0000000000000002E-3</v>
      </c>
      <c r="J16" s="136">
        <v>8.0000000000000002E-3</v>
      </c>
      <c r="K16" s="136">
        <v>0.01</v>
      </c>
    </row>
    <row r="17" spans="1:11" ht="15" x14ac:dyDescent="0.25">
      <c r="A17" s="134">
        <v>3</v>
      </c>
      <c r="B17" s="1" t="s">
        <v>335</v>
      </c>
      <c r="C17" s="1"/>
      <c r="D17" s="1"/>
      <c r="E17" s="96"/>
      <c r="F17" s="137">
        <v>1.2699999999999999E-2</v>
      </c>
      <c r="G17" s="96"/>
      <c r="H17" s="134" t="str">
        <f>IF(AND(F17&gt;=I17,F17&lt;=K17),"OK","DIFERE")</f>
        <v>OK</v>
      </c>
      <c r="I17" s="136">
        <v>9.7000000000000003E-3</v>
      </c>
      <c r="J17" s="136">
        <v>1.2699999999999999E-2</v>
      </c>
      <c r="K17" s="136">
        <v>1.2699999999999999E-2</v>
      </c>
    </row>
    <row r="18" spans="1:11" ht="15" x14ac:dyDescent="0.25">
      <c r="A18" s="134">
        <v>4</v>
      </c>
      <c r="B18" s="1" t="s">
        <v>336</v>
      </c>
      <c r="C18" s="1"/>
      <c r="D18" s="1"/>
      <c r="E18" s="96"/>
      <c r="F18" s="137">
        <v>1.3899999999999999E-2</v>
      </c>
      <c r="G18" s="96"/>
      <c r="H18" s="134" t="str">
        <f>IF(AND(F18&gt;=I18,F18&lt;=K18),"OK","DIFERE")</f>
        <v>OK</v>
      </c>
      <c r="I18" s="136">
        <v>5.8999999999999999E-3</v>
      </c>
      <c r="J18" s="136">
        <v>1.23E-2</v>
      </c>
      <c r="K18" s="136">
        <v>1.3899999999999999E-2</v>
      </c>
    </row>
    <row r="19" spans="1:11" ht="15" x14ac:dyDescent="0.25">
      <c r="A19" s="134">
        <v>5</v>
      </c>
      <c r="B19" s="1" t="s">
        <v>337</v>
      </c>
      <c r="C19" s="1"/>
      <c r="D19" s="1"/>
      <c r="E19" s="96"/>
      <c r="F19" s="137">
        <v>7.3999999999999996E-2</v>
      </c>
      <c r="G19" s="96"/>
      <c r="H19" s="134" t="str">
        <f>IF(AND(F19&gt;=I19,F19&lt;=K19),"OK","DIFERE")</f>
        <v>OK</v>
      </c>
      <c r="I19" s="136">
        <v>6.1600000000000002E-2</v>
      </c>
      <c r="J19" s="136">
        <v>7.3999999999999996E-2</v>
      </c>
      <c r="K19" s="136">
        <v>8.9599999999999999E-2</v>
      </c>
    </row>
    <row r="20" spans="1:11" ht="15" x14ac:dyDescent="0.25">
      <c r="A20" s="134">
        <v>6</v>
      </c>
      <c r="B20" s="1" t="s">
        <v>338</v>
      </c>
      <c r="C20" s="1"/>
      <c r="D20" s="1"/>
      <c r="E20" s="96"/>
      <c r="F20" s="137">
        <f>SUM(F21:F24)</f>
        <v>0.10149999999999999</v>
      </c>
      <c r="G20" s="150" t="s">
        <v>339</v>
      </c>
      <c r="H20" s="150"/>
      <c r="I20" s="150"/>
      <c r="J20" s="150"/>
      <c r="K20" s="150"/>
    </row>
    <row r="21" spans="1:11" ht="15.75" customHeight="1" x14ac:dyDescent="0.2">
      <c r="A21" s="138">
        <v>43836</v>
      </c>
      <c r="B21" s="1" t="s">
        <v>340</v>
      </c>
      <c r="C21" s="1"/>
      <c r="D21" s="1"/>
      <c r="E21" s="1"/>
      <c r="F21" s="137">
        <v>6.4999999999999997E-3</v>
      </c>
      <c r="G21" s="150"/>
      <c r="H21" s="150"/>
      <c r="I21" s="150"/>
      <c r="J21" s="150"/>
      <c r="K21" s="150"/>
    </row>
    <row r="22" spans="1:11" ht="15.75" customHeight="1" x14ac:dyDescent="0.2">
      <c r="A22" s="138">
        <v>43867</v>
      </c>
      <c r="B22" s="1" t="s">
        <v>341</v>
      </c>
      <c r="C22" s="1"/>
      <c r="D22" s="1"/>
      <c r="E22" s="1"/>
      <c r="F22" s="137">
        <v>0.03</v>
      </c>
      <c r="G22" s="150"/>
      <c r="H22" s="150"/>
      <c r="I22" s="150"/>
      <c r="J22" s="150"/>
      <c r="K22" s="150"/>
    </row>
    <row r="23" spans="1:11" ht="15.75" customHeight="1" x14ac:dyDescent="0.2">
      <c r="A23" s="138">
        <v>43896</v>
      </c>
      <c r="B23" s="1" t="s">
        <v>342</v>
      </c>
      <c r="C23" s="1"/>
      <c r="D23" s="1"/>
      <c r="E23" s="1"/>
      <c r="F23" s="137">
        <v>0.02</v>
      </c>
      <c r="G23" s="150"/>
      <c r="H23" s="150"/>
      <c r="I23" s="150"/>
      <c r="J23" s="150"/>
      <c r="K23" s="150"/>
    </row>
    <row r="24" spans="1:11" ht="15.75" customHeight="1" x14ac:dyDescent="0.2">
      <c r="A24" s="138">
        <v>43927</v>
      </c>
      <c r="B24" s="1" t="s">
        <v>343</v>
      </c>
      <c r="C24" s="1"/>
      <c r="D24" s="1"/>
      <c r="E24" s="1"/>
      <c r="F24" s="137">
        <v>4.4999999999999998E-2</v>
      </c>
      <c r="G24" s="150"/>
      <c r="H24" s="150"/>
      <c r="I24" s="150"/>
      <c r="J24" s="150"/>
      <c r="K24" s="150"/>
    </row>
    <row r="25" spans="1:11" ht="15.75" customHeight="1" x14ac:dyDescent="0.25">
      <c r="A25" s="151"/>
      <c r="B25" s="151"/>
      <c r="C25" s="151"/>
      <c r="D25" s="151"/>
      <c r="E25" s="151"/>
      <c r="F25" s="151"/>
      <c r="G25" s="150"/>
      <c r="H25" s="150"/>
      <c r="I25" s="150"/>
      <c r="J25" s="150"/>
      <c r="K25" s="150"/>
    </row>
    <row r="26" spans="1:11" ht="15.75" customHeight="1" x14ac:dyDescent="0.25">
      <c r="A26" s="149" t="s">
        <v>344</v>
      </c>
      <c r="B26" s="149"/>
      <c r="C26" s="149"/>
      <c r="D26" s="149"/>
      <c r="E26" s="96"/>
      <c r="F26" s="96"/>
      <c r="G26" s="150"/>
      <c r="H26" s="150"/>
      <c r="I26" s="150"/>
      <c r="J26" s="150"/>
      <c r="K26" s="150"/>
    </row>
    <row r="27" spans="1:11" ht="15.75" customHeight="1" x14ac:dyDescent="0.25">
      <c r="A27" s="149" t="s">
        <v>345</v>
      </c>
      <c r="B27" s="149"/>
      <c r="C27" s="149"/>
      <c r="D27" s="149"/>
      <c r="E27" s="96"/>
      <c r="F27" s="96"/>
      <c r="G27" s="1" t="s">
        <v>346</v>
      </c>
      <c r="H27" s="1"/>
      <c r="I27" s="1"/>
      <c r="J27" s="1"/>
      <c r="K27" s="1"/>
    </row>
    <row r="28" spans="1:11" ht="15.75" customHeight="1" x14ac:dyDescent="0.2">
      <c r="A28" s="149" t="s">
        <v>347</v>
      </c>
      <c r="B28" s="149"/>
      <c r="C28" s="149"/>
      <c r="D28" s="149"/>
      <c r="E28" s="149"/>
      <c r="F28" s="137">
        <f>ROUND((((1+(F15+F16+F17))*(1+F18)*(1+F19))/(1-F20))-1,4)</f>
        <v>0.27700000000000002</v>
      </c>
      <c r="G28" s="1" t="s">
        <v>348</v>
      </c>
      <c r="H28" s="1"/>
      <c r="I28" s="1"/>
      <c r="J28" s="1"/>
      <c r="K28" s="1"/>
    </row>
    <row r="29" spans="1:11" ht="15.75" customHeight="1" x14ac:dyDescent="0.25">
      <c r="A29" s="96"/>
      <c r="B29" s="96"/>
      <c r="C29" s="96"/>
      <c r="D29" s="96"/>
      <c r="E29" s="90"/>
      <c r="F29" s="96"/>
      <c r="G29" s="1" t="s">
        <v>349</v>
      </c>
      <c r="H29" s="1"/>
      <c r="I29" s="1"/>
      <c r="J29" s="1"/>
      <c r="K29" s="1"/>
    </row>
    <row r="30" spans="1:11" ht="15.75" customHeight="1" x14ac:dyDescent="0.25">
      <c r="A30" s="152" t="s">
        <v>350</v>
      </c>
      <c r="B30" s="152"/>
      <c r="C30" s="152"/>
      <c r="D30" s="152"/>
      <c r="E30" s="90"/>
      <c r="F30" s="96"/>
      <c r="G30" s="1" t="s">
        <v>351</v>
      </c>
      <c r="H30" s="1"/>
      <c r="I30" s="1"/>
      <c r="J30" s="1"/>
      <c r="K30" s="1"/>
    </row>
    <row r="31" spans="1:11" ht="15.75" customHeight="1" x14ac:dyDescent="0.25">
      <c r="A31" s="139" t="s">
        <v>352</v>
      </c>
      <c r="B31" s="137">
        <v>0.2034</v>
      </c>
      <c r="C31" s="137">
        <v>0.22120000000000001</v>
      </c>
      <c r="D31" s="137">
        <v>0.25</v>
      </c>
      <c r="E31" s="90"/>
      <c r="F31" s="96"/>
      <c r="G31" s="1" t="s">
        <v>353</v>
      </c>
      <c r="H31" s="1"/>
      <c r="I31" s="1"/>
      <c r="J31" s="1"/>
      <c r="K31" s="1"/>
    </row>
    <row r="32" spans="1:11" ht="15.75" customHeight="1" x14ac:dyDescent="0.25">
      <c r="A32" s="139" t="s">
        <v>354</v>
      </c>
      <c r="B32" s="137">
        <v>0.2601</v>
      </c>
      <c r="C32" s="137">
        <v>0.2787</v>
      </c>
      <c r="D32" s="137">
        <v>0.30890000000000001</v>
      </c>
      <c r="E32" s="90"/>
      <c r="F32" s="96"/>
      <c r="G32" s="1" t="s">
        <v>355</v>
      </c>
      <c r="H32" s="1"/>
      <c r="I32" s="1"/>
      <c r="J32" s="1"/>
      <c r="K32" s="1"/>
    </row>
    <row r="33" spans="1:11" ht="15.75" customHeight="1" x14ac:dyDescent="0.25">
      <c r="A33" s="90"/>
      <c r="B33" s="90"/>
      <c r="C33" s="90"/>
      <c r="D33" s="90"/>
      <c r="E33" s="90"/>
      <c r="F33" s="96"/>
      <c r="G33" s="1" t="s">
        <v>356</v>
      </c>
      <c r="H33" s="1"/>
      <c r="I33" s="1"/>
      <c r="J33" s="1"/>
      <c r="K33" s="1"/>
    </row>
    <row r="34" spans="1:11" ht="15.75" customHeight="1" x14ac:dyDescent="0.25">
      <c r="A34" s="96"/>
      <c r="B34" s="96"/>
      <c r="C34" s="96"/>
      <c r="D34" s="96"/>
      <c r="E34" s="96"/>
      <c r="F34" s="96"/>
      <c r="G34" s="1" t="s">
        <v>357</v>
      </c>
      <c r="H34" s="1"/>
      <c r="I34" s="1"/>
      <c r="J34" s="1"/>
      <c r="K34" s="1"/>
    </row>
    <row r="35" spans="1:11" ht="15.75" customHeight="1" x14ac:dyDescent="0.25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</row>
    <row r="36" spans="1:11" ht="15.75" customHeight="1" x14ac:dyDescent="0.3">
      <c r="A36" s="153" t="s">
        <v>358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</row>
    <row r="37" spans="1:11" ht="15.75" customHeight="1" x14ac:dyDescent="0.2">
      <c r="A37" s="149" t="s">
        <v>323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</row>
    <row r="38" spans="1:11" ht="15" customHeight="1" x14ac:dyDescent="0.2">
      <c r="A38" s="149" t="s">
        <v>11</v>
      </c>
      <c r="B38" s="149" t="s">
        <v>324</v>
      </c>
      <c r="C38" s="149"/>
      <c r="D38" s="149"/>
      <c r="E38" s="149" t="s">
        <v>325</v>
      </c>
      <c r="F38" s="149" t="s">
        <v>326</v>
      </c>
      <c r="G38" s="149" t="s">
        <v>327</v>
      </c>
      <c r="H38" s="154" t="s">
        <v>328</v>
      </c>
      <c r="I38" s="149" t="s">
        <v>329</v>
      </c>
      <c r="J38" s="149"/>
      <c r="K38" s="149"/>
    </row>
    <row r="39" spans="1:11" ht="15.75" customHeight="1" x14ac:dyDescent="0.2">
      <c r="A39" s="149"/>
      <c r="B39" s="149"/>
      <c r="C39" s="149"/>
      <c r="D39" s="149"/>
      <c r="E39" s="149"/>
      <c r="F39" s="149"/>
      <c r="G39" s="149"/>
      <c r="H39" s="149"/>
      <c r="I39" s="133" t="s">
        <v>330</v>
      </c>
      <c r="J39" s="133" t="s">
        <v>331</v>
      </c>
      <c r="K39" s="133" t="s">
        <v>332</v>
      </c>
    </row>
    <row r="40" spans="1:11" ht="15.75" customHeight="1" x14ac:dyDescent="0.25">
      <c r="A40" s="134">
        <v>1</v>
      </c>
      <c r="B40" s="1" t="s">
        <v>333</v>
      </c>
      <c r="C40" s="1"/>
      <c r="D40" s="1"/>
      <c r="E40" s="96"/>
      <c r="F40" s="140">
        <v>1.4999999999999999E-2</v>
      </c>
      <c r="G40" s="96"/>
      <c r="H40" s="134" t="str">
        <f>IF(AND(F40&gt;=I40,F40&lt;=K40),"OK","DIFERE")</f>
        <v>OK</v>
      </c>
      <c r="I40" s="136">
        <v>1.4999999999999999E-2</v>
      </c>
      <c r="J40" s="136">
        <v>3.4500000000000003E-2</v>
      </c>
      <c r="K40" s="136">
        <v>4.4900000000000002E-2</v>
      </c>
    </row>
    <row r="41" spans="1:11" ht="15.75" customHeight="1" x14ac:dyDescent="0.25">
      <c r="A41" s="134">
        <v>2</v>
      </c>
      <c r="B41" s="1" t="s">
        <v>334</v>
      </c>
      <c r="C41" s="1"/>
      <c r="D41" s="1"/>
      <c r="E41" s="96"/>
      <c r="F41" s="137">
        <v>3.0000000000000001E-3</v>
      </c>
      <c r="G41" s="96"/>
      <c r="H41" s="134" t="str">
        <f>IF(AND(F41&gt;=I41,F41&lt;=K41),"OK","DIFERE")</f>
        <v>OK</v>
      </c>
      <c r="I41" s="136">
        <v>3.0000000000000001E-3</v>
      </c>
      <c r="J41" s="136">
        <v>4.7999999999999996E-3</v>
      </c>
      <c r="K41" s="136">
        <v>8.2000000000000007E-3</v>
      </c>
    </row>
    <row r="42" spans="1:11" ht="15.75" customHeight="1" x14ac:dyDescent="0.25">
      <c r="A42" s="134">
        <v>3</v>
      </c>
      <c r="B42" s="1" t="s">
        <v>335</v>
      </c>
      <c r="C42" s="1"/>
      <c r="D42" s="1"/>
      <c r="E42" s="96"/>
      <c r="F42" s="137">
        <v>5.5999999999999999E-3</v>
      </c>
      <c r="G42" s="96"/>
      <c r="H42" s="134" t="str">
        <f>IF(AND(F42&gt;=I42,F42&lt;=K42),"OK","DIFERE")</f>
        <v>OK</v>
      </c>
      <c r="I42" s="136">
        <v>5.5999999999999999E-3</v>
      </c>
      <c r="J42" s="136">
        <v>8.5000000000000006E-3</v>
      </c>
      <c r="K42" s="136">
        <v>8.8999999999999999E-3</v>
      </c>
    </row>
    <row r="43" spans="1:11" ht="15.75" customHeight="1" x14ac:dyDescent="0.25">
      <c r="A43" s="134">
        <v>4</v>
      </c>
      <c r="B43" s="1" t="s">
        <v>336</v>
      </c>
      <c r="C43" s="1"/>
      <c r="D43" s="1"/>
      <c r="E43" s="96"/>
      <c r="F43" s="137">
        <v>8.5000000000000006E-3</v>
      </c>
      <c r="G43" s="96"/>
      <c r="H43" s="134" t="str">
        <f>IF(AND(F43&gt;=I43,F43&lt;=K43),"OK","DIFERE")</f>
        <v>OK</v>
      </c>
      <c r="I43" s="136">
        <v>8.5000000000000006E-3</v>
      </c>
      <c r="J43" s="136">
        <v>8.5000000000000006E-3</v>
      </c>
      <c r="K43" s="136">
        <v>1.11E-2</v>
      </c>
    </row>
    <row r="44" spans="1:11" ht="15.75" customHeight="1" x14ac:dyDescent="0.25">
      <c r="A44" s="134">
        <v>5</v>
      </c>
      <c r="B44" s="1" t="s">
        <v>337</v>
      </c>
      <c r="C44" s="1"/>
      <c r="D44" s="1"/>
      <c r="E44" s="96"/>
      <c r="F44" s="140">
        <v>3.5200000000000002E-2</v>
      </c>
      <c r="G44" s="96"/>
      <c r="H44" s="134" t="str">
        <f>IF(AND(F44&gt;=I44,F44&lt;=K44),"OK","DIFERE")</f>
        <v>OK</v>
      </c>
      <c r="I44" s="136">
        <v>3.5000000000000003E-2</v>
      </c>
      <c r="J44" s="136">
        <v>5.11E-2</v>
      </c>
      <c r="K44" s="136">
        <v>6.2199999999999998E-2</v>
      </c>
    </row>
    <row r="45" spans="1:11" ht="15.75" customHeight="1" x14ac:dyDescent="0.25">
      <c r="A45" s="134">
        <v>6</v>
      </c>
      <c r="B45" s="1" t="s">
        <v>338</v>
      </c>
      <c r="C45" s="1"/>
      <c r="D45" s="1"/>
      <c r="E45" s="96"/>
      <c r="F45" s="137">
        <f>SUM(F46:F49)</f>
        <v>8.1499999999999989E-2</v>
      </c>
      <c r="G45" s="150" t="s">
        <v>339</v>
      </c>
      <c r="H45" s="150"/>
      <c r="I45" s="150"/>
      <c r="J45" s="150"/>
      <c r="K45" s="150"/>
    </row>
    <row r="46" spans="1:11" ht="15.75" customHeight="1" x14ac:dyDescent="0.2">
      <c r="A46" s="138">
        <v>43836</v>
      </c>
      <c r="B46" s="1" t="s">
        <v>340</v>
      </c>
      <c r="C46" s="1"/>
      <c r="D46" s="1"/>
      <c r="E46" s="1"/>
      <c r="F46" s="137">
        <v>6.4999999999999997E-3</v>
      </c>
      <c r="G46" s="150"/>
      <c r="H46" s="150"/>
      <c r="I46" s="150"/>
      <c r="J46" s="150"/>
      <c r="K46" s="150"/>
    </row>
    <row r="47" spans="1:11" ht="15.75" customHeight="1" x14ac:dyDescent="0.2">
      <c r="A47" s="138">
        <v>43867</v>
      </c>
      <c r="B47" s="1" t="s">
        <v>341</v>
      </c>
      <c r="C47" s="1"/>
      <c r="D47" s="1"/>
      <c r="E47" s="1"/>
      <c r="F47" s="137">
        <v>0.03</v>
      </c>
      <c r="G47" s="150"/>
      <c r="H47" s="150"/>
      <c r="I47" s="150"/>
      <c r="J47" s="150"/>
      <c r="K47" s="150"/>
    </row>
    <row r="48" spans="1:11" ht="15.75" customHeight="1" x14ac:dyDescent="0.2">
      <c r="A48" s="138">
        <v>43896</v>
      </c>
      <c r="B48" s="1" t="s">
        <v>342</v>
      </c>
      <c r="C48" s="1"/>
      <c r="D48" s="1"/>
      <c r="E48" s="1"/>
      <c r="F48" s="140">
        <v>0</v>
      </c>
      <c r="G48" s="150"/>
      <c r="H48" s="150"/>
      <c r="I48" s="150"/>
      <c r="J48" s="150"/>
      <c r="K48" s="150"/>
    </row>
    <row r="49" spans="1:11" ht="15.75" customHeight="1" x14ac:dyDescent="0.2">
      <c r="A49" s="138">
        <v>43927</v>
      </c>
      <c r="B49" s="1" t="s">
        <v>343</v>
      </c>
      <c r="C49" s="1"/>
      <c r="D49" s="1"/>
      <c r="E49" s="1"/>
      <c r="F49" s="137">
        <v>4.4999999999999998E-2</v>
      </c>
      <c r="G49" s="150"/>
      <c r="H49" s="150"/>
      <c r="I49" s="150"/>
      <c r="J49" s="150"/>
      <c r="K49" s="150"/>
    </row>
    <row r="50" spans="1:11" ht="15.75" customHeight="1" x14ac:dyDescent="0.25">
      <c r="A50" s="151"/>
      <c r="B50" s="151"/>
      <c r="C50" s="151"/>
      <c r="D50" s="151"/>
      <c r="E50" s="151"/>
      <c r="F50" s="151"/>
      <c r="G50" s="150"/>
      <c r="H50" s="150"/>
      <c r="I50" s="150"/>
      <c r="J50" s="150"/>
      <c r="K50" s="150"/>
    </row>
    <row r="51" spans="1:11" ht="15.75" customHeight="1" x14ac:dyDescent="0.25">
      <c r="A51" s="149" t="s">
        <v>344</v>
      </c>
      <c r="B51" s="149"/>
      <c r="C51" s="149"/>
      <c r="D51" s="149"/>
      <c r="E51" s="96"/>
      <c r="F51" s="96"/>
      <c r="G51" s="150"/>
      <c r="H51" s="150"/>
      <c r="I51" s="150"/>
      <c r="J51" s="150"/>
      <c r="K51" s="150"/>
    </row>
    <row r="52" spans="1:11" ht="15.75" customHeight="1" x14ac:dyDescent="0.25">
      <c r="A52" s="149" t="s">
        <v>345</v>
      </c>
      <c r="B52" s="149"/>
      <c r="C52" s="149"/>
      <c r="D52" s="149"/>
      <c r="E52" s="96"/>
      <c r="F52" s="96"/>
      <c r="G52" s="1" t="s">
        <v>346</v>
      </c>
      <c r="H52" s="1"/>
      <c r="I52" s="1"/>
      <c r="J52" s="1"/>
      <c r="K52" s="1"/>
    </row>
    <row r="53" spans="1:11" ht="15.75" customHeight="1" x14ac:dyDescent="0.2">
      <c r="A53" s="149" t="s">
        <v>347</v>
      </c>
      <c r="B53" s="149"/>
      <c r="C53" s="149"/>
      <c r="D53" s="149"/>
      <c r="E53" s="149"/>
      <c r="F53" s="137">
        <f>(((1+(F40+F41+F42))*(1+F43)*(1+F44))/(1-F45))-1</f>
        <v>0.16345953306477945</v>
      </c>
      <c r="G53" s="1" t="s">
        <v>348</v>
      </c>
      <c r="H53" s="1"/>
      <c r="I53" s="1"/>
      <c r="J53" s="1"/>
      <c r="K53" s="1"/>
    </row>
    <row r="54" spans="1:11" ht="15.75" customHeight="1" x14ac:dyDescent="0.25">
      <c r="A54" s="96"/>
      <c r="B54" s="96"/>
      <c r="C54" s="96"/>
      <c r="D54" s="96"/>
      <c r="E54" s="90"/>
      <c r="F54" s="96"/>
      <c r="G54" s="1" t="s">
        <v>349</v>
      </c>
      <c r="H54" s="1"/>
      <c r="I54" s="1"/>
      <c r="J54" s="1"/>
      <c r="K54" s="1"/>
    </row>
    <row r="55" spans="1:11" ht="15.75" customHeight="1" x14ac:dyDescent="0.25">
      <c r="A55" s="152" t="s">
        <v>350</v>
      </c>
      <c r="B55" s="152"/>
      <c r="C55" s="152"/>
      <c r="D55" s="152"/>
      <c r="E55" s="90"/>
      <c r="F55" s="96"/>
      <c r="G55" s="1" t="s">
        <v>351</v>
      </c>
      <c r="H55" s="1"/>
      <c r="I55" s="1"/>
      <c r="J55" s="1"/>
      <c r="K55" s="1"/>
    </row>
    <row r="56" spans="1:11" ht="15.75" customHeight="1" x14ac:dyDescent="0.25">
      <c r="A56" s="139" t="s">
        <v>352</v>
      </c>
      <c r="B56" s="137">
        <v>0.111</v>
      </c>
      <c r="C56" s="137">
        <v>0.14019999999999999</v>
      </c>
      <c r="D56" s="137">
        <v>0.16800000000000001</v>
      </c>
      <c r="E56" s="90"/>
      <c r="F56" s="96"/>
      <c r="G56" s="1" t="s">
        <v>353</v>
      </c>
      <c r="H56" s="1"/>
      <c r="I56" s="1"/>
      <c r="J56" s="1"/>
      <c r="K56" s="1"/>
    </row>
    <row r="57" spans="1:11" ht="15.75" customHeight="1" x14ac:dyDescent="0.25">
      <c r="A57" s="139" t="s">
        <v>354</v>
      </c>
      <c r="B57" s="137">
        <v>0.16339999999999999</v>
      </c>
      <c r="C57" s="137">
        <v>0.19389999999999999</v>
      </c>
      <c r="D57" s="137">
        <v>0.223</v>
      </c>
      <c r="E57" s="90"/>
      <c r="F57" s="96"/>
      <c r="G57" s="1" t="s">
        <v>355</v>
      </c>
      <c r="H57" s="1"/>
      <c r="I57" s="1"/>
      <c r="J57" s="1"/>
      <c r="K57" s="1"/>
    </row>
    <row r="58" spans="1:11" ht="15.75" customHeight="1" x14ac:dyDescent="0.25">
      <c r="A58" s="90"/>
      <c r="B58" s="90"/>
      <c r="C58" s="90"/>
      <c r="D58" s="90"/>
      <c r="E58" s="90"/>
      <c r="F58" s="96"/>
      <c r="G58" s="1" t="s">
        <v>356</v>
      </c>
      <c r="H58" s="1"/>
      <c r="I58" s="1"/>
      <c r="J58" s="1"/>
      <c r="K58" s="1"/>
    </row>
    <row r="59" spans="1:11" ht="15.75" customHeight="1" x14ac:dyDescent="0.25">
      <c r="A59" s="96"/>
      <c r="B59" s="96"/>
      <c r="C59" s="96"/>
      <c r="D59" s="96"/>
      <c r="E59" s="96"/>
      <c r="F59" s="96"/>
      <c r="G59" s="1" t="s">
        <v>357</v>
      </c>
      <c r="H59" s="1"/>
      <c r="I59" s="1"/>
      <c r="J59" s="1"/>
      <c r="K59" s="1"/>
    </row>
    <row r="60" spans="1:11" ht="15" customHeight="1" x14ac:dyDescent="0.25">
      <c r="A60" s="155" t="s">
        <v>359</v>
      </c>
      <c r="B60" s="155"/>
      <c r="C60" s="155"/>
      <c r="D60" s="155"/>
      <c r="E60" s="155"/>
      <c r="F60" s="155"/>
      <c r="G60" s="155"/>
      <c r="H60" s="155"/>
      <c r="I60" s="155"/>
      <c r="J60" s="155"/>
      <c r="K60" s="155"/>
    </row>
    <row r="61" spans="1:11" ht="15.75" customHeight="1" x14ac:dyDescent="0.2"/>
    <row r="62" spans="1:11" ht="15.75" customHeight="1" x14ac:dyDescent="0.2"/>
    <row r="63" spans="1:11" ht="15.75" customHeight="1" x14ac:dyDescent="0.2"/>
    <row r="64" spans="1:11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9">
    <mergeCell ref="G59:K59"/>
    <mergeCell ref="A60:K60"/>
    <mergeCell ref="A55:D55"/>
    <mergeCell ref="G55:K55"/>
    <mergeCell ref="G56:K56"/>
    <mergeCell ref="G57:K57"/>
    <mergeCell ref="G58:K58"/>
    <mergeCell ref="A52:D52"/>
    <mergeCell ref="G52:K52"/>
    <mergeCell ref="A53:E53"/>
    <mergeCell ref="G53:K53"/>
    <mergeCell ref="G54:K54"/>
    <mergeCell ref="B45:D45"/>
    <mergeCell ref="G45:K51"/>
    <mergeCell ref="B46:E46"/>
    <mergeCell ref="B47:E47"/>
    <mergeCell ref="B48:E48"/>
    <mergeCell ref="B49:E49"/>
    <mergeCell ref="A50:F50"/>
    <mergeCell ref="A51:D51"/>
    <mergeCell ref="B40:D40"/>
    <mergeCell ref="B41:D41"/>
    <mergeCell ref="B42:D42"/>
    <mergeCell ref="B43:D43"/>
    <mergeCell ref="B44:D44"/>
    <mergeCell ref="G34:K34"/>
    <mergeCell ref="A35:K35"/>
    <mergeCell ref="A36:K36"/>
    <mergeCell ref="A37:K37"/>
    <mergeCell ref="A38:A39"/>
    <mergeCell ref="B38:D39"/>
    <mergeCell ref="E38:E39"/>
    <mergeCell ref="F38:F39"/>
    <mergeCell ref="G38:G39"/>
    <mergeCell ref="H38:H39"/>
    <mergeCell ref="I38:K38"/>
    <mergeCell ref="A30:D30"/>
    <mergeCell ref="G30:K30"/>
    <mergeCell ref="G31:K31"/>
    <mergeCell ref="G32:K32"/>
    <mergeCell ref="G33:K33"/>
    <mergeCell ref="A27:D27"/>
    <mergeCell ref="G27:K27"/>
    <mergeCell ref="A28:E28"/>
    <mergeCell ref="G28:K28"/>
    <mergeCell ref="G29:K29"/>
    <mergeCell ref="B20:D20"/>
    <mergeCell ref="G20:K26"/>
    <mergeCell ref="B21:E21"/>
    <mergeCell ref="B22:E22"/>
    <mergeCell ref="B23:E23"/>
    <mergeCell ref="B24:E24"/>
    <mergeCell ref="A25:F25"/>
    <mergeCell ref="A26:D26"/>
    <mergeCell ref="B15:D15"/>
    <mergeCell ref="B16:D16"/>
    <mergeCell ref="B17:D17"/>
    <mergeCell ref="B18:D18"/>
    <mergeCell ref="B19:D1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A1:K1"/>
    <mergeCell ref="A3:A9"/>
    <mergeCell ref="C3:D9"/>
    <mergeCell ref="E3:H3"/>
    <mergeCell ref="E4:H4"/>
    <mergeCell ref="E5:H5"/>
    <mergeCell ref="E6:H6"/>
    <mergeCell ref="E7:H7"/>
    <mergeCell ref="E8:H8"/>
    <mergeCell ref="E9:H9"/>
  </mergeCells>
  <printOptions horizontalCentered="1" gridLines="1"/>
  <pageMargins left="0.75" right="0.75" top="0.7" bottom="0.7" header="0.51180555555555496" footer="0.51180555555555496"/>
  <pageSetup paperSize="9" firstPageNumber="0" pageOrder="overThenDown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Global</vt:lpstr>
      <vt:lpstr>Cronograma</vt:lpstr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dc:description/>
  <cp:lastModifiedBy>ADM</cp:lastModifiedBy>
  <cp:revision>1</cp:revision>
  <dcterms:created xsi:type="dcterms:W3CDTF">2019-10-10T08:19:54Z</dcterms:created>
  <dcterms:modified xsi:type="dcterms:W3CDTF">2022-11-09T13:15:37Z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